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Commercial\Share Allocation\Oct-2026\"/>
    </mc:Choice>
  </mc:AlternateContent>
  <xr:revisionPtr revIDLastSave="0" documentId="13_ncr:1_{697A7CEA-2C11-4D25-BE4F-482EB720A07F}" xr6:coauthVersionLast="47" xr6:coauthVersionMax="47" xr10:uidLastSave="{00000000-0000-0000-0000-000000000000}"/>
  <bookViews>
    <workbookView xWindow="30" yWindow="30" windowWidth="28770" windowHeight="15450" activeTab="1" xr2:uid="{00000000-000D-0000-FFFF-FFFF00000000}"/>
  </bookViews>
  <sheets>
    <sheet name="ALLOCATION AS ON 31.10.2026" sheetId="1" r:id="rId1"/>
    <sheet name="UA Pool" sheetId="3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3" l="1"/>
  <c r="L19" i="3"/>
  <c r="H20" i="1"/>
  <c r="G19" i="1"/>
  <c r="AG11" i="1"/>
  <c r="AG9" i="1"/>
  <c r="AQ53" i="1"/>
  <c r="AQ49" i="1"/>
  <c r="AP49" i="1"/>
  <c r="AP43" i="1"/>
  <c r="AP28" i="1"/>
  <c r="AP20" i="1"/>
  <c r="AP29" i="1" s="1"/>
  <c r="AP51" i="1" s="1"/>
  <c r="AP53" i="1" s="1"/>
  <c r="K4" i="3"/>
  <c r="K19" i="3" s="1"/>
  <c r="N22" i="3"/>
  <c r="E22" i="1"/>
  <c r="M19" i="1"/>
  <c r="K19" i="1"/>
  <c r="I19" i="1"/>
  <c r="L3" i="3" l="1"/>
  <c r="E15" i="1"/>
  <c r="G53" i="1"/>
  <c r="I53" i="1"/>
  <c r="K53" i="1"/>
  <c r="M53" i="1"/>
  <c r="O53" i="1"/>
  <c r="Q53" i="1"/>
  <c r="S53" i="1"/>
  <c r="U53" i="1"/>
  <c r="W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O53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E43" i="1"/>
  <c r="E49" i="1"/>
  <c r="AN43" i="1"/>
  <c r="AL43" i="1"/>
  <c r="AJ43" i="1"/>
  <c r="AH43" i="1"/>
  <c r="AF43" i="1"/>
  <c r="AD43" i="1"/>
  <c r="AB43" i="1"/>
  <c r="Z43" i="1"/>
  <c r="X43" i="1"/>
  <c r="V43" i="1"/>
  <c r="T43" i="1"/>
  <c r="R42" i="1"/>
  <c r="P42" i="1"/>
  <c r="N42" i="1"/>
  <c r="J42" i="1"/>
  <c r="F42" i="1"/>
  <c r="AN28" i="1"/>
  <c r="AL28" i="1"/>
  <c r="AJ28" i="1"/>
  <c r="AH28" i="1"/>
  <c r="AF28" i="1"/>
  <c r="AD28" i="1"/>
  <c r="AB28" i="1"/>
  <c r="Z28" i="1"/>
  <c r="X28" i="1"/>
  <c r="V28" i="1"/>
  <c r="T28" i="1"/>
  <c r="R28" i="1"/>
  <c r="P28" i="1"/>
  <c r="N28" i="1"/>
  <c r="L28" i="1"/>
  <c r="J28" i="1"/>
  <c r="H28" i="1"/>
  <c r="V20" i="1"/>
  <c r="X19" i="1"/>
  <c r="X20" i="1" s="1"/>
  <c r="Z20" i="1"/>
  <c r="AB19" i="1"/>
  <c r="AB20" i="1" s="1"/>
  <c r="AD19" i="1"/>
  <c r="AD20" i="1" s="1"/>
  <c r="AF20" i="1"/>
  <c r="AH19" i="1"/>
  <c r="AH20" i="1" s="1"/>
  <c r="AJ19" i="1"/>
  <c r="AJ20" i="1" s="1"/>
  <c r="AL19" i="1"/>
  <c r="AL20" i="1" s="1"/>
  <c r="AN19" i="1"/>
  <c r="AN20" i="1" s="1"/>
  <c r="T19" i="1"/>
  <c r="T20" i="1" s="1"/>
  <c r="D20" i="1"/>
  <c r="E4" i="3"/>
  <c r="J6" i="1"/>
  <c r="H6" i="1"/>
  <c r="F6" i="1"/>
  <c r="R6" i="1"/>
  <c r="N6" i="1"/>
  <c r="E27" i="1"/>
  <c r="E26" i="1"/>
  <c r="E24" i="1"/>
  <c r="E28" i="1" s="1"/>
  <c r="P6" i="1"/>
  <c r="L6" i="1"/>
  <c r="C4" i="3"/>
  <c r="C19" i="3" s="1"/>
  <c r="M37" i="1"/>
  <c r="L37" i="1"/>
  <c r="J11" i="1"/>
  <c r="D41" i="3"/>
  <c r="D40" i="3"/>
  <c r="D39" i="3"/>
  <c r="D38" i="3"/>
  <c r="D37" i="3"/>
  <c r="D36" i="3"/>
  <c r="D35" i="3"/>
  <c r="R33" i="3"/>
  <c r="N28" i="3"/>
  <c r="N27" i="3"/>
  <c r="N26" i="3"/>
  <c r="N25" i="3"/>
  <c r="N24" i="3"/>
  <c r="N23" i="3"/>
  <c r="J4" i="3"/>
  <c r="J19" i="3" s="1"/>
  <c r="I4" i="3"/>
  <c r="I19" i="3" s="1"/>
  <c r="H4" i="3"/>
  <c r="H19" i="3" s="1"/>
  <c r="G4" i="3"/>
  <c r="G19" i="3" s="1"/>
  <c r="F4" i="3"/>
  <c r="D4" i="3"/>
  <c r="D19" i="3" s="1"/>
  <c r="B4" i="3"/>
  <c r="B19" i="3" s="1"/>
  <c r="C27" i="3" l="1"/>
  <c r="E3" i="3"/>
  <c r="E19" i="3"/>
  <c r="E24" i="3" s="1"/>
  <c r="J34" i="1" s="1"/>
  <c r="J43" i="1" s="1"/>
  <c r="J50" i="1" s="1"/>
  <c r="AN29" i="1"/>
  <c r="M4" i="3"/>
  <c r="P20" i="1"/>
  <c r="X50" i="1"/>
  <c r="AB29" i="1"/>
  <c r="H29" i="1"/>
  <c r="L20" i="1"/>
  <c r="N20" i="1"/>
  <c r="V50" i="1"/>
  <c r="R20" i="1"/>
  <c r="J20" i="1"/>
  <c r="T50" i="1"/>
  <c r="Z29" i="1"/>
  <c r="E50" i="1"/>
  <c r="AD29" i="1"/>
  <c r="AJ29" i="1"/>
  <c r="AL29" i="1"/>
  <c r="AH29" i="1"/>
  <c r="AF29" i="1"/>
  <c r="F20" i="1"/>
  <c r="F29" i="1" s="1"/>
  <c r="K25" i="3"/>
  <c r="D28" i="3"/>
  <c r="I28" i="3"/>
  <c r="G28" i="3"/>
  <c r="B3" i="3"/>
  <c r="H3" i="3"/>
  <c r="J3" i="3"/>
  <c r="I3" i="3"/>
  <c r="C3" i="3"/>
  <c r="F3" i="3"/>
  <c r="J28" i="3"/>
  <c r="K3" i="3"/>
  <c r="B28" i="3"/>
  <c r="I23" i="3"/>
  <c r="I25" i="3"/>
  <c r="K27" i="3"/>
  <c r="B22" i="3"/>
  <c r="J22" i="3"/>
  <c r="B24" i="3"/>
  <c r="J24" i="3"/>
  <c r="B26" i="3"/>
  <c r="J26" i="3"/>
  <c r="I27" i="3"/>
  <c r="G3" i="3"/>
  <c r="C23" i="3"/>
  <c r="C25" i="3"/>
  <c r="G26" i="3"/>
  <c r="N29" i="3"/>
  <c r="I22" i="3"/>
  <c r="I24" i="3"/>
  <c r="D3" i="3"/>
  <c r="C22" i="3"/>
  <c r="K22" i="3"/>
  <c r="G23" i="3"/>
  <c r="C24" i="3"/>
  <c r="K24" i="3"/>
  <c r="G25" i="3"/>
  <c r="C26" i="3"/>
  <c r="K26" i="3"/>
  <c r="G27" i="3"/>
  <c r="C28" i="3"/>
  <c r="K28" i="3"/>
  <c r="G22" i="3"/>
  <c r="K23" i="3"/>
  <c r="G24" i="3"/>
  <c r="I26" i="3"/>
  <c r="D22" i="3"/>
  <c r="D24" i="3"/>
  <c r="D26" i="3"/>
  <c r="B23" i="3"/>
  <c r="J23" i="3"/>
  <c r="B25" i="3"/>
  <c r="J25" i="3"/>
  <c r="B27" i="3"/>
  <c r="J27" i="3"/>
  <c r="D23" i="3"/>
  <c r="D25" i="3"/>
  <c r="D27" i="3"/>
  <c r="M19" i="3" l="1"/>
  <c r="M22" i="3" s="1"/>
  <c r="S35" i="3"/>
  <c r="S39" i="3" s="1"/>
  <c r="Q20" i="3" s="1"/>
  <c r="E28" i="3"/>
  <c r="R34" i="1" s="1"/>
  <c r="R43" i="1" s="1"/>
  <c r="R50" i="1" s="1"/>
  <c r="E27" i="3"/>
  <c r="P34" i="1" s="1"/>
  <c r="P43" i="1" s="1"/>
  <c r="P50" i="1" s="1"/>
  <c r="E23" i="3"/>
  <c r="H34" i="1" s="1"/>
  <c r="H43" i="1" s="1"/>
  <c r="H50" i="1" s="1"/>
  <c r="E22" i="3"/>
  <c r="F34" i="1" s="1"/>
  <c r="E25" i="3"/>
  <c r="L34" i="1" s="1"/>
  <c r="L43" i="1" s="1"/>
  <c r="L50" i="1" s="1"/>
  <c r="E26" i="3"/>
  <c r="N34" i="1" s="1"/>
  <c r="N43" i="1" s="1"/>
  <c r="N50" i="1" s="1"/>
  <c r="F43" i="1" l="1"/>
  <c r="M28" i="3"/>
  <c r="M23" i="3"/>
  <c r="M24" i="3"/>
  <c r="M25" i="3"/>
  <c r="M26" i="3"/>
  <c r="M27" i="3"/>
  <c r="M29" i="3" l="1"/>
  <c r="S32" i="1"/>
  <c r="S33" i="1"/>
  <c r="S34" i="1"/>
  <c r="S35" i="1"/>
  <c r="S36" i="1"/>
  <c r="S37" i="1"/>
  <c r="S38" i="1"/>
  <c r="S39" i="1"/>
  <c r="S40" i="1"/>
  <c r="Q32" i="1"/>
  <c r="Q33" i="1"/>
  <c r="Q34" i="1"/>
  <c r="Q35" i="1"/>
  <c r="Q36" i="1"/>
  <c r="Q37" i="1"/>
  <c r="Q38" i="1"/>
  <c r="Q39" i="1"/>
  <c r="Q40" i="1"/>
  <c r="O32" i="1"/>
  <c r="O33" i="1"/>
  <c r="O34" i="1"/>
  <c r="O35" i="1"/>
  <c r="O36" i="1"/>
  <c r="O37" i="1"/>
  <c r="O38" i="1"/>
  <c r="O39" i="1"/>
  <c r="O40" i="1"/>
  <c r="M32" i="1"/>
  <c r="M33" i="1"/>
  <c r="M34" i="1"/>
  <c r="M35" i="1"/>
  <c r="M36" i="1"/>
  <c r="M38" i="1"/>
  <c r="M39" i="1"/>
  <c r="M40" i="1"/>
  <c r="K32" i="1"/>
  <c r="K33" i="1"/>
  <c r="K34" i="1"/>
  <c r="K35" i="1"/>
  <c r="K36" i="1"/>
  <c r="K37" i="1"/>
  <c r="K38" i="1"/>
  <c r="K39" i="1"/>
  <c r="K40" i="1"/>
  <c r="I32" i="1"/>
  <c r="I33" i="1"/>
  <c r="I34" i="1"/>
  <c r="I35" i="1"/>
  <c r="I36" i="1"/>
  <c r="I37" i="1"/>
  <c r="I38" i="1"/>
  <c r="I39" i="1"/>
  <c r="I40" i="1"/>
  <c r="G32" i="1"/>
  <c r="G33" i="1"/>
  <c r="G34" i="1"/>
  <c r="G35" i="1"/>
  <c r="G36" i="1"/>
  <c r="G37" i="1"/>
  <c r="G38" i="1"/>
  <c r="G39" i="1"/>
  <c r="G40" i="1"/>
  <c r="S31" i="1"/>
  <c r="Q31" i="1"/>
  <c r="O31" i="1"/>
  <c r="M31" i="1"/>
  <c r="K31" i="1"/>
  <c r="I31" i="1"/>
  <c r="G31" i="1"/>
  <c r="I9" i="1"/>
  <c r="I10" i="1"/>
  <c r="I11" i="1"/>
  <c r="I12" i="1"/>
  <c r="I13" i="1"/>
  <c r="I14" i="1"/>
  <c r="I15" i="1"/>
  <c r="I16" i="1"/>
  <c r="I17" i="1"/>
  <c r="I5" i="1"/>
  <c r="G9" i="1"/>
  <c r="G10" i="1"/>
  <c r="G11" i="1"/>
  <c r="G12" i="1"/>
  <c r="G13" i="1"/>
  <c r="G14" i="1"/>
  <c r="G15" i="1"/>
  <c r="G16" i="1"/>
  <c r="G17" i="1"/>
  <c r="G5" i="1"/>
  <c r="AN51" i="1" l="1"/>
  <c r="AN53" i="1" s="1"/>
  <c r="F50" i="1"/>
  <c r="E20" i="1" l="1"/>
  <c r="L29" i="1" l="1"/>
  <c r="L51" i="1" s="1"/>
  <c r="L53" i="1" s="1"/>
  <c r="J29" i="1"/>
  <c r="E29" i="1"/>
  <c r="E51" i="1" s="1"/>
  <c r="E53" i="1" s="1"/>
  <c r="X29" i="1"/>
  <c r="X51" i="1" s="1"/>
  <c r="X53" i="1" s="1"/>
  <c r="V29" i="1"/>
  <c r="V51" i="1" s="1"/>
  <c r="V53" i="1" s="1"/>
  <c r="T29" i="1"/>
  <c r="T51" i="1" s="1"/>
  <c r="T53" i="1" s="1"/>
  <c r="R29" i="1"/>
  <c r="R51" i="1" s="1"/>
  <c r="R53" i="1" s="1"/>
  <c r="P29" i="1"/>
  <c r="P51" i="1" s="1"/>
  <c r="P53" i="1" s="1"/>
  <c r="N29" i="1"/>
  <c r="N51" i="1" s="1"/>
  <c r="N53" i="1" s="1"/>
  <c r="J51" i="1" l="1"/>
  <c r="H51" i="1"/>
  <c r="H53" i="1" s="1"/>
  <c r="J53" i="1" l="1"/>
  <c r="F51" i="1"/>
  <c r="F53" i="1" s="1"/>
</calcChain>
</file>

<file path=xl/sharedStrings.xml><?xml version="1.0" encoding="utf-8"?>
<sst xmlns="http://schemas.openxmlformats.org/spreadsheetml/2006/main" count="182" uniqueCount="116">
  <si>
    <t>स्टेशन/STATIONS</t>
  </si>
  <si>
    <t>स्थापित क्षमता/ INSTALLED CAPACITY</t>
  </si>
  <si>
    <t>आबंटित क्षमता/ ALLOCATED CAPACITY</t>
  </si>
  <si>
    <t>क्षेत्र के भीतर/Within the region</t>
  </si>
  <si>
    <t>अरूणाचल प्रदेश/ ARUNACHAL PRADESH</t>
  </si>
  <si>
    <t>असम /
 ASSAM</t>
  </si>
  <si>
    <t>मणिपुर/
 MANIPUR</t>
  </si>
  <si>
    <t>मेघालय/ MEGHALAYA</t>
  </si>
  <si>
    <t>मिजोरम/
 MIZORAM</t>
  </si>
  <si>
    <t>नागालैण्ड/ NAGALAND</t>
  </si>
  <si>
    <t>त्रिपुरा /
 TRIPURA</t>
  </si>
  <si>
    <t>पावरग्रिड डीवीसी/ POWERGRID-HVDC</t>
  </si>
  <si>
    <t>(A) फर्म शेयर/ FIRM SHARE</t>
  </si>
  <si>
    <t>MW</t>
  </si>
  <si>
    <t>%</t>
  </si>
  <si>
    <t>लोकतक एच.पी.एच / Loktak HPS</t>
  </si>
  <si>
    <t>खानडोंग एच.पी.एस / Khandong HPS</t>
  </si>
  <si>
    <t xml:space="preserve">कोपिली+कोपिली एक्सटेंसन एच.पी.एस / Kopili+Kopili Extn .HPS </t>
  </si>
  <si>
    <t>कोपिली एच.ई.पी स्टेज-।। / Kopili HEP Stg. - II</t>
  </si>
  <si>
    <t>कथलगुरी जी.पी.एस / Kathalguri GPS</t>
  </si>
  <si>
    <t>अगरतला जी.टी.पी-सी.सी /Agartala GTP-CC</t>
  </si>
  <si>
    <t>बोंगाईगांव थर्मल पीपी/Bongaigaon Thermal PP</t>
  </si>
  <si>
    <t>दोयांग एच.पी.एस / Doyang HPS</t>
  </si>
  <si>
    <t>रंगानदी एच.पी.एस / Ranganadi HPS</t>
  </si>
  <si>
    <t>मोनार्चक सीसीजीटी(जी.टी) / 
Monarchak CCGT(GT)</t>
  </si>
  <si>
    <t>तुरिअल एच.ई.पी / Tuirial HEP</t>
  </si>
  <si>
    <t>पारे एच.ई.पी/Pare HEP</t>
  </si>
  <si>
    <t>उप-कुल/Sub-Total  (A)</t>
  </si>
  <si>
    <t>(B) फर्म पावर से / अन्य क्षेत्र / FIRM SHARE FROM/ TO OTHER REGIONS</t>
  </si>
  <si>
    <t>(C)  कुल फर्म शेयर / TOTAL FIRM SHARE [=A+B]</t>
  </si>
  <si>
    <t>लोकतक एच.पी.एस./ Loktak HPS</t>
  </si>
  <si>
    <t>खांडोंग एच.पी.एस./ Khandong HPS</t>
  </si>
  <si>
    <t xml:space="preserve">कोपिली + कोपीली एक्स्टेंशन एचपीएस/ Kopili+Kopili Extn .HPS </t>
  </si>
  <si>
    <t>कोपीली एचईपी स्टेज -।। /Kopili HEP Stg. - II</t>
  </si>
  <si>
    <t>कथलगुरी जी.पी.एस./ Kathalguri GPS</t>
  </si>
  <si>
    <t>अगरतला जीपीएस (सीसी) / Agartala GPS(CC)</t>
  </si>
  <si>
    <t>बोंगईगांव थर्मल पीपी / Bongaigaon Thermal PP</t>
  </si>
  <si>
    <t>डोयांग एचपीएस / Doyang HPS</t>
  </si>
  <si>
    <t>रंगानदी एचपीएस / Ranganadi HPS</t>
  </si>
  <si>
    <t>Assam</t>
  </si>
  <si>
    <t>Manipur</t>
  </si>
  <si>
    <t>Meghalaya</t>
  </si>
  <si>
    <t>Mizoram</t>
  </si>
  <si>
    <t>Nagaland</t>
  </si>
  <si>
    <t>Tripura</t>
  </si>
  <si>
    <t>Total</t>
  </si>
  <si>
    <t>Pare HEP</t>
  </si>
  <si>
    <t xml:space="preserve">पारे एच.ई.पी/ Pare HEP </t>
  </si>
  <si>
    <t xml:space="preserve">
हरियाणा/ HARYANA</t>
  </si>
  <si>
    <t>छत्तीसगढ/ CHHATTISGARH</t>
  </si>
  <si>
    <t xml:space="preserve">
उत्तर प्रदेश / UTTAR PRADESH</t>
  </si>
  <si>
    <t xml:space="preserve">
क्षेत्र के बाहर/Outside the region</t>
  </si>
  <si>
    <t>कामेंग एच.ई.पी./ Kameng HEP (Unit I, II, III &amp; IV)*</t>
  </si>
  <si>
    <t>(D) एन.ई.आर. सीजीएस की अनाबंटित विद्युत / UNALLOCATED SHARE</t>
  </si>
  <si>
    <t>(H) कमिशनित लेकिन गैर-सी.ओ.डी. यूनिट / COMMISSIONED BUT NON-CoD UNITS</t>
  </si>
  <si>
    <t xml:space="preserve">(G) एनईआर लाभार्थियों का कुल आबंटन / TOTAL ALLOCATION TO NER BENEFICIARIES [=C+F] </t>
  </si>
  <si>
    <t>(I) कुल पावर / TOTAL POWER [=G+H]</t>
  </si>
  <si>
    <t>Stations</t>
  </si>
  <si>
    <t>Loktak HPS</t>
  </si>
  <si>
    <t>Khandong HPS</t>
  </si>
  <si>
    <t xml:space="preserve">Kopili+Kopili Extn .HPS </t>
  </si>
  <si>
    <t>Kopili HEP Stg. - II</t>
  </si>
  <si>
    <t>Kathalguri GPS</t>
  </si>
  <si>
    <t>Agartala GPS(CC)</t>
  </si>
  <si>
    <t>Bongaigaon Thermal PP</t>
  </si>
  <si>
    <t>Doyang HPS</t>
  </si>
  <si>
    <t>Ranganadi HPS</t>
  </si>
  <si>
    <t xml:space="preserve">PERCENTAGE SHARES AND ENTITLEMENTS OF NORTH EASTERN REGION UTILITIES </t>
  </si>
  <si>
    <t>Installed Capacity (MW)</t>
  </si>
  <si>
    <t xml:space="preserve">IN VARIOUS CENTRAL SECTOR GENERATING STATIONS  </t>
  </si>
  <si>
    <t>Unallocated Power in %</t>
  </si>
  <si>
    <t xml:space="preserve">Unallocated Power in MW </t>
  </si>
  <si>
    <t>Specific allocation from specific stations</t>
  </si>
  <si>
    <t>To Tamil Nadu</t>
  </si>
  <si>
    <t>To Uttarakhand</t>
  </si>
  <si>
    <t>A. Allocations from N.E.R.                                          (All figures in %)</t>
  </si>
  <si>
    <t>Balance</t>
  </si>
  <si>
    <t>Distribution of Balance UA</t>
  </si>
  <si>
    <t xml:space="preserve">State/UT         </t>
  </si>
  <si>
    <t>Round the clock</t>
  </si>
  <si>
    <t>Arunachal Pradesh</t>
  </si>
  <si>
    <t>States</t>
  </si>
  <si>
    <t>Peak %</t>
  </si>
  <si>
    <t>Off Peak %</t>
  </si>
  <si>
    <t>RTC</t>
  </si>
  <si>
    <t>Total Unallocated Pool Power</t>
  </si>
  <si>
    <t>Balance Unallocated Pool for beneficiaries of the Region</t>
  </si>
  <si>
    <t>Farakka I &amp; II</t>
  </si>
  <si>
    <t>Kahalgaon I</t>
  </si>
  <si>
    <t>Talcher I</t>
  </si>
  <si>
    <t>Mangdechu Bhutan</t>
  </si>
  <si>
    <t>Punatsangchhu-II Bhutan</t>
  </si>
  <si>
    <t>Subansiri</t>
  </si>
  <si>
    <t>चंडीगढ़/Chandigarh</t>
  </si>
  <si>
    <t>राजस्थान/Rajasthan</t>
  </si>
  <si>
    <t>गुजरात/Gujarat</t>
  </si>
  <si>
    <t>महाराष्ट्र/Maharashtra</t>
  </si>
  <si>
    <t>मध्यप्रदेश/  MADHYAPRADESH</t>
  </si>
  <si>
    <t>गोवा/Goa</t>
  </si>
  <si>
    <t>उप-कुल/Sub-Total  (B)</t>
  </si>
  <si>
    <t>उप-कुल/Sub-Total  (D)</t>
  </si>
  <si>
    <t>(F) एनईआर लाभार्थियों को कुल अनाबंटित विद्युत / TOTAL UNALLOCATED  POWER TO NER BENEFICIARIES(E+D)</t>
  </si>
  <si>
    <t>पलाटना जी.पी.पी / Pallatana GPP*</t>
  </si>
  <si>
    <t>* Plants have Merchant Power</t>
  </si>
  <si>
    <t>सुबनसिरी लोअर HEP/Subansiri Lower HEP*</t>
  </si>
  <si>
    <t>Mouda-I</t>
  </si>
  <si>
    <t xml:space="preserve">जेएनएनएसएम सौर ऊर्जा के साथ बंडलिंग के लिए / For Bundling with JNNSM Solar power </t>
  </si>
  <si>
    <r>
      <t>ईआर एनटीपीसी स्टेशनों++ की शेष अनलोकेटेड ऊर्जा  / Balance Unallocated power of ER NTPC Stations</t>
    </r>
    <r>
      <rPr>
        <vertAlign val="superscript"/>
        <sz val="14"/>
        <rFont val="Mangal"/>
        <family val="1"/>
      </rPr>
      <t>++</t>
    </r>
    <r>
      <rPr>
        <sz val="14"/>
        <rFont val="Mangal"/>
        <family val="1"/>
      </rPr>
      <t xml:space="preserve"> </t>
    </r>
  </si>
  <si>
    <t>उप-कुल/ Sub-Total €</t>
  </si>
  <si>
    <t>(E)  अन्य क्षेत्रों से विद्युत आबंटन / UNALLOCATED POWER FROM OTHER REGIONS REGION (TOTAL including both peak and off-peak)</t>
  </si>
  <si>
    <t>कर्नाटक/Karnataka</t>
  </si>
  <si>
    <t>अक्टूबर-2026 के लिए/For Month of October-2026</t>
  </si>
  <si>
    <t>तमिलनाडु/ TAMILNADU</t>
  </si>
  <si>
    <t>Karnataka</t>
  </si>
  <si>
    <t>Gujarat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</si>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</sst>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00000"/>
    <numFmt numFmtId="167" formatCode="0.000"/>
    <numFmt numFmtId="168" formatCode="0.00000"/>
  </numFmts>
  <fonts count="20" x14ac:knownFonts="1">
    <font>
      <sz val="11"/>
      <color rgb="FF000000"/>
      <name val="Calibri"/>
    </font>
    <font>
      <b/>
      <sz val="16"/>
      <name val="Mangal"/>
      <family val="1"/>
    </font>
    <font>
      <sz val="11"/>
      <name val="Calibri"/>
      <family val="2"/>
    </font>
    <font>
      <sz val="16"/>
      <name val="Mangal"/>
      <family val="1"/>
    </font>
    <font>
      <sz val="14"/>
      <name val="Times New Roman"/>
      <family val="1"/>
    </font>
    <font>
      <vertAlign val="superscript"/>
      <sz val="14"/>
      <name val="Mangal"/>
      <family val="1"/>
    </font>
    <font>
      <sz val="14"/>
      <name val="Mangal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sz val="24"/>
      <color rgb="FF000000"/>
      <name val="Calibri"/>
      <family val="2"/>
    </font>
    <font>
      <sz val="14"/>
      <color rgb="FF000000"/>
      <name val="Calibri"/>
      <family val="2"/>
    </font>
    <font>
      <sz val="1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4">
    <xf numFmtId="0" fontId="0" fillId="0" borderId="0" xfId="0"/>
    <xf numFmtId="1" fontId="1" fillId="0" borderId="9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horizontal="left"/>
    </xf>
    <xf numFmtId="0" fontId="7" fillId="0" borderId="10" xfId="0" applyFont="1" applyBorder="1" applyAlignment="1">
      <alignment vertical="center" wrapText="1"/>
    </xf>
    <xf numFmtId="0" fontId="7" fillId="0" borderId="10" xfId="1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wrapText="1"/>
    </xf>
    <xf numFmtId="0" fontId="7" fillId="0" borderId="10" xfId="0" applyFont="1" applyBorder="1"/>
    <xf numFmtId="2" fontId="7" fillId="0" borderId="10" xfId="0" applyNumberFormat="1" applyFont="1" applyBorder="1" applyAlignment="1">
      <alignment horizontal="right"/>
    </xf>
    <xf numFmtId="0" fontId="7" fillId="0" borderId="10" xfId="1" applyFont="1" applyBorder="1" applyAlignment="1">
      <alignment horizontal="left" vertical="center" wrapText="1"/>
    </xf>
    <xf numFmtId="2" fontId="9" fillId="0" borderId="10" xfId="0" applyNumberFormat="1" applyFont="1" applyBorder="1" applyAlignment="1">
      <alignment horizontal="right"/>
    </xf>
    <xf numFmtId="0" fontId="9" fillId="0" borderId="10" xfId="1" applyFont="1" applyBorder="1" applyAlignment="1">
      <alignment horizontal="left" vertical="center" wrapText="1"/>
    </xf>
    <xf numFmtId="0" fontId="9" fillId="0" borderId="10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8" fillId="0" borderId="0" xfId="0" applyFont="1"/>
    <xf numFmtId="0" fontId="10" fillId="0" borderId="0" xfId="0" applyFont="1" applyAlignment="1">
      <alignment horizontal="center"/>
    </xf>
    <xf numFmtId="0" fontId="9" fillId="0" borderId="0" xfId="0" applyFont="1"/>
    <xf numFmtId="2" fontId="8" fillId="0" borderId="0" xfId="0" applyNumberFormat="1" applyFont="1"/>
    <xf numFmtId="0" fontId="7" fillId="0" borderId="0" xfId="0" applyFont="1"/>
    <xf numFmtId="2" fontId="9" fillId="0" borderId="0" xfId="0" applyNumberFormat="1" applyFont="1"/>
    <xf numFmtId="1" fontId="11" fillId="0" borderId="15" xfId="0" applyNumberFormat="1" applyFont="1" applyBorder="1"/>
    <xf numFmtId="2" fontId="0" fillId="0" borderId="16" xfId="0" applyNumberFormat="1" applyBorder="1" applyAlignment="1">
      <alignment horizontal="right"/>
    </xf>
    <xf numFmtId="1" fontId="11" fillId="0" borderId="0" xfId="0" applyNumberFormat="1" applyFont="1"/>
    <xf numFmtId="0" fontId="9" fillId="0" borderId="0" xfId="1" applyFont="1" applyAlignment="1">
      <alignment horizontal="left" wrapText="1"/>
    </xf>
    <xf numFmtId="167" fontId="9" fillId="0" borderId="0" xfId="0" applyNumberFormat="1" applyFont="1"/>
    <xf numFmtId="2" fontId="8" fillId="0" borderId="16" xfId="0" applyNumberFormat="1" applyFont="1" applyBorder="1" applyAlignment="1">
      <alignment horizontal="right"/>
    </xf>
    <xf numFmtId="1" fontId="11" fillId="0" borderId="14" xfId="0" applyNumberFormat="1" applyFont="1" applyBorder="1"/>
    <xf numFmtId="2" fontId="8" fillId="0" borderId="17" xfId="0" applyNumberFormat="1" applyFont="1" applyBorder="1"/>
    <xf numFmtId="2" fontId="11" fillId="0" borderId="17" xfId="0" applyNumberFormat="1" applyFont="1" applyBorder="1" applyAlignment="1">
      <alignment horizontal="right"/>
    </xf>
    <xf numFmtId="2" fontId="11" fillId="0" borderId="0" xfId="0" applyNumberFormat="1" applyFont="1"/>
    <xf numFmtId="2" fontId="12" fillId="0" borderId="0" xfId="0" applyNumberFormat="1" applyFont="1" applyAlignment="1">
      <alignment horizontal="left" vertical="center"/>
    </xf>
    <xf numFmtId="1" fontId="13" fillId="0" borderId="0" xfId="0" applyNumberFormat="1" applyFont="1"/>
    <xf numFmtId="2" fontId="13" fillId="0" borderId="0" xfId="0" applyNumberFormat="1" applyFont="1"/>
    <xf numFmtId="1" fontId="0" fillId="0" borderId="0" xfId="0" applyNumberFormat="1" applyAlignment="1">
      <alignment horizontal="left"/>
    </xf>
    <xf numFmtId="0" fontId="11" fillId="0" borderId="0" xfId="0" applyFont="1"/>
    <xf numFmtId="1" fontId="11" fillId="0" borderId="0" xfId="0" applyNumberFormat="1" applyFont="1" applyAlignment="1">
      <alignment horizontal="left"/>
    </xf>
    <xf numFmtId="166" fontId="7" fillId="0" borderId="10" xfId="0" applyNumberFormat="1" applyFont="1" applyBorder="1"/>
    <xf numFmtId="166" fontId="7" fillId="0" borderId="10" xfId="1" applyNumberFormat="1" applyFont="1" applyBorder="1" applyAlignment="1">
      <alignment horizontal="center" vertical="center" textRotation="90" wrapText="1"/>
    </xf>
    <xf numFmtId="166" fontId="7" fillId="0" borderId="10" xfId="0" applyNumberFormat="1" applyFont="1" applyBorder="1" applyAlignment="1">
      <alignment horizontal="right"/>
    </xf>
    <xf numFmtId="166" fontId="9" fillId="0" borderId="10" xfId="0" applyNumberFormat="1" applyFont="1" applyBorder="1"/>
    <xf numFmtId="166" fontId="8" fillId="0" borderId="0" xfId="0" applyNumberFormat="1" applyFont="1"/>
    <xf numFmtId="166" fontId="0" fillId="0" borderId="0" xfId="0" applyNumberFormat="1" applyAlignment="1">
      <alignment horizontal="right"/>
    </xf>
    <xf numFmtId="166" fontId="9" fillId="0" borderId="10" xfId="0" applyNumberFormat="1" applyFont="1" applyBorder="1" applyAlignment="1">
      <alignment horizontal="right"/>
    </xf>
    <xf numFmtId="166" fontId="9" fillId="0" borderId="0" xfId="0" applyNumberFormat="1" applyFont="1"/>
    <xf numFmtId="168" fontId="9" fillId="0" borderId="0" xfId="0" applyNumberFormat="1" applyFont="1" applyAlignment="1">
      <alignment horizontal="right"/>
    </xf>
    <xf numFmtId="166" fontId="0" fillId="0" borderId="16" xfId="0" applyNumberFormat="1" applyBorder="1" applyAlignment="1">
      <alignment horizontal="right"/>
    </xf>
    <xf numFmtId="0" fontId="9" fillId="0" borderId="10" xfId="0" applyFont="1" applyBorder="1" applyAlignment="1">
      <alignment horizontal="center"/>
    </xf>
    <xf numFmtId="166" fontId="9" fillId="0" borderId="10" xfId="0" applyNumberFormat="1" applyFont="1" applyBorder="1" applyAlignment="1">
      <alignment horizontal="center"/>
    </xf>
    <xf numFmtId="0" fontId="9" fillId="0" borderId="10" xfId="1" applyFont="1" applyBorder="1" applyAlignment="1">
      <alignment horizontal="left" wrapText="1"/>
    </xf>
    <xf numFmtId="0" fontId="7" fillId="0" borderId="0" xfId="0" applyFont="1" applyAlignment="1">
      <alignment horizontal="left"/>
    </xf>
    <xf numFmtId="166" fontId="14" fillId="0" borderId="16" xfId="0" applyNumberFormat="1" applyFont="1" applyBorder="1" applyAlignment="1">
      <alignment horizontal="right"/>
    </xf>
    <xf numFmtId="168" fontId="11" fillId="0" borderId="0" xfId="0" applyNumberFormat="1" applyFont="1"/>
    <xf numFmtId="165" fontId="9" fillId="0" borderId="0" xfId="0" applyNumberFormat="1" applyFont="1"/>
    <xf numFmtId="166" fontId="0" fillId="0" borderId="9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6" fontId="0" fillId="0" borderId="9" xfId="0" applyNumberFormat="1" applyBorder="1" applyAlignment="1">
      <alignment horizontal="center" vertical="center"/>
    </xf>
    <xf numFmtId="0" fontId="16" fillId="0" borderId="0" xfId="0" applyFont="1"/>
    <xf numFmtId="0" fontId="3" fillId="3" borderId="2" xfId="0" applyFont="1" applyFill="1" applyBorder="1" applyAlignment="1">
      <alignment horizontal="left" wrapText="1"/>
    </xf>
    <xf numFmtId="0" fontId="2" fillId="3" borderId="3" xfId="0" applyFont="1" applyFill="1" applyBorder="1"/>
    <xf numFmtId="0" fontId="2" fillId="3" borderId="4" xfId="0" applyFont="1" applyFill="1" applyBorder="1"/>
    <xf numFmtId="166" fontId="0" fillId="3" borderId="9" xfId="0" applyNumberFormat="1" applyFill="1" applyBorder="1" applyAlignment="1">
      <alignment horizontal="center"/>
    </xf>
    <xf numFmtId="0" fontId="0" fillId="3" borderId="0" xfId="0" applyFill="1"/>
    <xf numFmtId="166" fontId="2" fillId="3" borderId="9" xfId="0" applyNumberFormat="1" applyFont="1" applyFill="1" applyBorder="1" applyAlignment="1">
      <alignment horizontal="center"/>
    </xf>
    <xf numFmtId="166" fontId="17" fillId="3" borderId="9" xfId="0" applyNumberFormat="1" applyFont="1" applyFill="1" applyBorder="1" applyAlignment="1">
      <alignment horizontal="center"/>
    </xf>
    <xf numFmtId="0" fontId="2" fillId="3" borderId="0" xfId="0" applyFont="1" applyFill="1"/>
    <xf numFmtId="166" fontId="0" fillId="3" borderId="20" xfId="0" applyNumberFormat="1" applyFill="1" applyBorder="1" applyAlignment="1">
      <alignment horizontal="center"/>
    </xf>
    <xf numFmtId="166" fontId="18" fillId="0" borderId="9" xfId="0" applyNumberFormat="1" applyFont="1" applyBorder="1" applyAlignment="1">
      <alignment horizontal="center"/>
    </xf>
    <xf numFmtId="166" fontId="18" fillId="0" borderId="1" xfId="0" applyNumberFormat="1" applyFont="1" applyBorder="1" applyAlignment="1">
      <alignment horizontal="center"/>
    </xf>
    <xf numFmtId="0" fontId="18" fillId="0" borderId="0" xfId="0" applyFont="1"/>
    <xf numFmtId="166" fontId="2" fillId="0" borderId="9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 vertical="center"/>
    </xf>
    <xf numFmtId="166" fontId="2" fillId="0" borderId="8" xfId="0" applyNumberFormat="1" applyFont="1" applyBorder="1" applyAlignment="1">
      <alignment horizontal="center"/>
    </xf>
    <xf numFmtId="166" fontId="2" fillId="0" borderId="9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166" fontId="19" fillId="0" borderId="10" xfId="0" applyNumberFormat="1" applyFont="1" applyBorder="1"/>
    <xf numFmtId="166" fontId="19" fillId="3" borderId="10" xfId="0" applyNumberFormat="1" applyFont="1" applyFill="1" applyBorder="1"/>
    <xf numFmtId="166" fontId="9" fillId="3" borderId="10" xfId="0" applyNumberFormat="1" applyFont="1" applyFill="1" applyBorder="1"/>
    <xf numFmtId="164" fontId="1" fillId="0" borderId="10" xfId="0" applyNumberFormat="1" applyFont="1" applyBorder="1" applyAlignment="1">
      <alignment horizontal="center" vertical="center" textRotation="90" wrapText="1"/>
    </xf>
    <xf numFmtId="0" fontId="2" fillId="0" borderId="10" xfId="0" applyFont="1" applyBorder="1"/>
    <xf numFmtId="0" fontId="3" fillId="0" borderId="2" xfId="0" applyFont="1" applyBorder="1" applyAlignment="1">
      <alignment horizontal="left" wrapText="1"/>
    </xf>
    <xf numFmtId="0" fontId="2" fillId="0" borderId="3" xfId="0" applyFont="1" applyBorder="1"/>
    <xf numFmtId="0" fontId="2" fillId="0" borderId="4" xfId="0" applyFont="1" applyBorder="1"/>
    <xf numFmtId="0" fontId="3" fillId="3" borderId="2" xfId="0" applyFont="1" applyFill="1" applyBorder="1" applyAlignment="1">
      <alignment horizontal="left" wrapText="1"/>
    </xf>
    <xf numFmtId="0" fontId="2" fillId="3" borderId="3" xfId="0" applyFont="1" applyFill="1" applyBorder="1"/>
    <xf numFmtId="0" fontId="2" fillId="3" borderId="4" xfId="0" applyFont="1" applyFill="1" applyBorder="1"/>
    <xf numFmtId="0" fontId="1" fillId="0" borderId="2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textRotation="90" wrapText="1"/>
    </xf>
    <xf numFmtId="0" fontId="2" fillId="0" borderId="8" xfId="0" applyFont="1" applyBorder="1"/>
    <xf numFmtId="0" fontId="1" fillId="0" borderId="5" xfId="0" applyFont="1" applyBorder="1" applyAlignment="1">
      <alignment horizontal="center" vertical="center" wrapText="1" readingOrder="1"/>
    </xf>
    <xf numFmtId="0" fontId="2" fillId="0" borderId="6" xfId="0" applyFont="1" applyBorder="1"/>
    <xf numFmtId="164" fontId="1" fillId="0" borderId="2" xfId="0" applyNumberFormat="1" applyFont="1" applyBorder="1" applyAlignment="1">
      <alignment horizontal="center" vertical="center" textRotation="90" wrapText="1"/>
    </xf>
    <xf numFmtId="0" fontId="15" fillId="2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 readingOrder="1"/>
    </xf>
    <xf numFmtId="0" fontId="1" fillId="0" borderId="18" xfId="0" applyFont="1" applyBorder="1" applyAlignment="1">
      <alignment horizontal="center" vertical="center"/>
    </xf>
    <xf numFmtId="0" fontId="2" fillId="0" borderId="0" xfId="0" applyFont="1"/>
    <xf numFmtId="0" fontId="2" fillId="0" borderId="19" xfId="0" applyFont="1" applyBorder="1"/>
    <xf numFmtId="0" fontId="2" fillId="0" borderId="5" xfId="0" applyFont="1" applyBorder="1"/>
    <xf numFmtId="0" fontId="2" fillId="0" borderId="7" xfId="0" applyFont="1" applyBorder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10" xfId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/>
    </xf>
    <xf numFmtId="1" fontId="8" fillId="0" borderId="1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11" fillId="0" borderId="13" xfId="0" applyNumberFormat="1" applyFont="1" applyBorder="1" applyAlignment="1">
      <alignment horizontal="left" vertical="center"/>
    </xf>
    <xf numFmtId="1" fontId="11" fillId="0" borderId="14" xfId="0" applyNumberFormat="1" applyFont="1" applyBorder="1" applyAlignment="1">
      <alignment horizontal="left" vertical="center"/>
    </xf>
    <xf numFmtId="1" fontId="11" fillId="0" borderId="13" xfId="0" applyNumberFormat="1" applyFont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>
      <alignment horizontal="left" vertical="center"/>
    </xf>
    <xf numFmtId="1" fontId="11" fillId="0" borderId="0" xfId="0" applyNumberFormat="1" applyFont="1" applyAlignment="1">
      <alignment horizontal="center" vertical="center" wrapText="1"/>
    </xf>
    <xf numFmtId="1" fontId="11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_Allocation 2 2" xfId="1" xr:uid="{00000000-0005-0000-0000-000001000000}"/>
  </cellStyles>
  <dxfs count="2"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bhi\OneDrive\Desktop\Documents\Work\Commercial\Share%20Allocation\NER%20Allocation%20-%20inputs%20from%20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OCATION AS ON 31.12.2022"/>
      <sheetName val="Sheet1"/>
      <sheetName val="Sheet2"/>
      <sheetName val="UA POOL"/>
      <sheetName val="Sheet3"/>
      <sheetName val="FIRM_UA_ENTITLE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7">
          <cell r="C27">
            <v>15.004499999999998</v>
          </cell>
          <cell r="E27">
            <v>30</v>
          </cell>
          <cell r="G27">
            <v>44.000000000000007</v>
          </cell>
          <cell r="H27">
            <v>18.899999999999999</v>
          </cell>
          <cell r="I27">
            <v>112.5</v>
          </cell>
          <cell r="J27">
            <v>11.000000000000002</v>
          </cell>
          <cell r="K27">
            <v>60</v>
          </cell>
          <cell r="L27">
            <v>16.500000000000004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01"/>
  <sheetViews>
    <sheetView topLeftCell="A5" zoomScale="70" zoomScaleNormal="70" workbookViewId="0">
      <selection activeCell="G16" sqref="G16"/>
    </sheetView>
  </sheetViews>
  <sheetFormatPr defaultColWidth="14.28515625" defaultRowHeight="15" customHeight="1" x14ac:dyDescent="0.25"/>
  <cols>
    <col min="1" max="1" width="71.28515625" customWidth="1"/>
    <col min="2" max="3" width="8.7109375" customWidth="1"/>
    <col min="4" max="4" width="16.28515625" customWidth="1"/>
    <col min="5" max="5" width="20" bestFit="1" customWidth="1"/>
    <col min="6" max="6" width="12.5703125" bestFit="1" customWidth="1"/>
    <col min="7" max="7" width="11.42578125" bestFit="1" customWidth="1"/>
    <col min="8" max="8" width="14.28515625" style="73" bestFit="1" customWidth="1"/>
    <col min="9" max="9" width="11.7109375" style="73" bestFit="1" customWidth="1"/>
    <col min="10" max="10" width="13" bestFit="1" customWidth="1"/>
    <col min="11" max="11" width="13.7109375" customWidth="1"/>
    <col min="12" max="12" width="13" bestFit="1" customWidth="1"/>
    <col min="13" max="13" width="11.42578125" bestFit="1" customWidth="1"/>
    <col min="14" max="14" width="13" bestFit="1" customWidth="1"/>
    <col min="15" max="16" width="12.5703125" bestFit="1" customWidth="1"/>
    <col min="17" max="17" width="11.42578125" bestFit="1" customWidth="1"/>
    <col min="18" max="18" width="13" bestFit="1" customWidth="1"/>
    <col min="19" max="19" width="12.5703125" bestFit="1" customWidth="1"/>
    <col min="20" max="21" width="10.5703125" bestFit="1" customWidth="1"/>
    <col min="22" max="22" width="11.42578125" bestFit="1" customWidth="1"/>
    <col min="23" max="23" width="10.5703125" bestFit="1" customWidth="1"/>
    <col min="24" max="24" width="12.5703125" bestFit="1" customWidth="1"/>
    <col min="25" max="25" width="10.5703125" bestFit="1" customWidth="1"/>
    <col min="26" max="26" width="11.7109375" bestFit="1" customWidth="1"/>
    <col min="27" max="27" width="11.7109375" customWidth="1"/>
    <col min="28" max="29" width="10.5703125" bestFit="1" customWidth="1"/>
    <col min="30" max="30" width="11.7109375" bestFit="1" customWidth="1"/>
    <col min="31" max="31" width="10.5703125" bestFit="1" customWidth="1"/>
    <col min="32" max="32" width="12.5703125" customWidth="1"/>
    <col min="33" max="33" width="11.5703125" customWidth="1"/>
    <col min="34" max="34" width="11.42578125" bestFit="1" customWidth="1"/>
    <col min="35" max="35" width="10.5703125" bestFit="1" customWidth="1"/>
    <col min="36" max="36" width="11.7109375" bestFit="1" customWidth="1"/>
    <col min="37" max="39" width="10.5703125" bestFit="1" customWidth="1"/>
    <col min="40" max="40" width="12" customWidth="1"/>
    <col min="41" max="41" width="10.5703125" bestFit="1" customWidth="1"/>
    <col min="42" max="42" width="11.42578125" bestFit="1" customWidth="1"/>
    <col min="43" max="43" width="10.5703125" bestFit="1" customWidth="1"/>
  </cols>
  <sheetData>
    <row r="1" spans="1:43" ht="37.5" customHeight="1" x14ac:dyDescent="0.25">
      <c r="A1" s="97" t="s">
        <v>111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</row>
    <row r="2" spans="1:43" ht="154.5" customHeight="1" x14ac:dyDescent="0.25">
      <c r="A2" s="99" t="s">
        <v>0</v>
      </c>
      <c r="B2" s="100"/>
      <c r="C2" s="101"/>
      <c r="D2" s="92" t="s">
        <v>1</v>
      </c>
      <c r="E2" s="92" t="s">
        <v>2</v>
      </c>
      <c r="F2" s="94" t="s">
        <v>3</v>
      </c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8" t="s">
        <v>51</v>
      </c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</row>
    <row r="3" spans="1:43" ht="162.75" customHeight="1" x14ac:dyDescent="0.25">
      <c r="A3" s="102"/>
      <c r="B3" s="95"/>
      <c r="C3" s="103"/>
      <c r="D3" s="93"/>
      <c r="E3" s="93"/>
      <c r="F3" s="91" t="s">
        <v>4</v>
      </c>
      <c r="G3" s="87"/>
      <c r="H3" s="91" t="s">
        <v>5</v>
      </c>
      <c r="I3" s="87"/>
      <c r="J3" s="91" t="s">
        <v>6</v>
      </c>
      <c r="K3" s="87"/>
      <c r="L3" s="91" t="s">
        <v>7</v>
      </c>
      <c r="M3" s="87"/>
      <c r="N3" s="96" t="s">
        <v>8</v>
      </c>
      <c r="O3" s="87"/>
      <c r="P3" s="96" t="s">
        <v>9</v>
      </c>
      <c r="Q3" s="87"/>
      <c r="R3" s="96" t="s">
        <v>10</v>
      </c>
      <c r="S3" s="87"/>
      <c r="T3" s="96" t="s">
        <v>11</v>
      </c>
      <c r="U3" s="86"/>
      <c r="V3" s="83" t="s">
        <v>48</v>
      </c>
      <c r="W3" s="84"/>
      <c r="X3" s="83" t="s">
        <v>50</v>
      </c>
      <c r="Y3" s="84"/>
      <c r="Z3" s="83" t="s">
        <v>110</v>
      </c>
      <c r="AA3" s="84"/>
      <c r="AB3" s="83" t="s">
        <v>93</v>
      </c>
      <c r="AC3" s="84"/>
      <c r="AD3" s="83" t="s">
        <v>94</v>
      </c>
      <c r="AE3" s="84"/>
      <c r="AF3" s="83" t="s">
        <v>95</v>
      </c>
      <c r="AG3" s="84"/>
      <c r="AH3" s="83" t="s">
        <v>96</v>
      </c>
      <c r="AI3" s="84"/>
      <c r="AJ3" s="83" t="s">
        <v>97</v>
      </c>
      <c r="AK3" s="84"/>
      <c r="AL3" s="83" t="s">
        <v>98</v>
      </c>
      <c r="AM3" s="84"/>
      <c r="AN3" s="83" t="s">
        <v>49</v>
      </c>
      <c r="AO3" s="84"/>
      <c r="AP3" s="83" t="s">
        <v>112</v>
      </c>
      <c r="AQ3" s="84"/>
    </row>
    <row r="4" spans="1:43" ht="42.75" customHeight="1" x14ac:dyDescent="0.25">
      <c r="A4" s="104" t="s">
        <v>12</v>
      </c>
      <c r="B4" s="86"/>
      <c r="C4" s="87"/>
      <c r="D4" s="1" t="s">
        <v>13</v>
      </c>
      <c r="E4" s="1" t="s">
        <v>13</v>
      </c>
      <c r="F4" s="1" t="s">
        <v>13</v>
      </c>
      <c r="G4" s="2" t="s">
        <v>14</v>
      </c>
      <c r="H4" s="1" t="s">
        <v>13</v>
      </c>
      <c r="I4" s="2" t="s">
        <v>14</v>
      </c>
      <c r="J4" s="1" t="s">
        <v>13</v>
      </c>
      <c r="K4" s="2" t="s">
        <v>14</v>
      </c>
      <c r="L4" s="1" t="s">
        <v>13</v>
      </c>
      <c r="M4" s="2" t="s">
        <v>14</v>
      </c>
      <c r="N4" s="1" t="s">
        <v>13</v>
      </c>
      <c r="O4" s="2" t="s">
        <v>14</v>
      </c>
      <c r="P4" s="1" t="s">
        <v>13</v>
      </c>
      <c r="Q4" s="2" t="s">
        <v>14</v>
      </c>
      <c r="R4" s="1" t="s">
        <v>13</v>
      </c>
      <c r="S4" s="2" t="s">
        <v>14</v>
      </c>
      <c r="T4" s="1" t="s">
        <v>13</v>
      </c>
      <c r="U4" s="2" t="s">
        <v>14</v>
      </c>
      <c r="V4" s="3" t="s">
        <v>13</v>
      </c>
      <c r="W4" s="4" t="s">
        <v>14</v>
      </c>
      <c r="X4" s="3" t="s">
        <v>13</v>
      </c>
      <c r="Y4" s="4" t="s">
        <v>14</v>
      </c>
      <c r="Z4" s="3" t="s">
        <v>13</v>
      </c>
      <c r="AA4" s="4" t="s">
        <v>14</v>
      </c>
      <c r="AB4" s="3" t="s">
        <v>13</v>
      </c>
      <c r="AC4" s="4" t="s">
        <v>14</v>
      </c>
      <c r="AD4" s="3" t="s">
        <v>13</v>
      </c>
      <c r="AE4" s="4" t="s">
        <v>14</v>
      </c>
      <c r="AF4" s="3" t="s">
        <v>13</v>
      </c>
      <c r="AG4" s="4" t="s">
        <v>14</v>
      </c>
      <c r="AH4" s="3" t="s">
        <v>13</v>
      </c>
      <c r="AI4" s="4" t="s">
        <v>14</v>
      </c>
      <c r="AJ4" s="3" t="s">
        <v>13</v>
      </c>
      <c r="AK4" s="4" t="s">
        <v>14</v>
      </c>
      <c r="AL4" s="3" t="s">
        <v>13</v>
      </c>
      <c r="AM4" s="4" t="s">
        <v>14</v>
      </c>
      <c r="AN4" s="3" t="s">
        <v>13</v>
      </c>
      <c r="AO4" s="4" t="s">
        <v>14</v>
      </c>
      <c r="AP4" s="3" t="s">
        <v>13</v>
      </c>
      <c r="AQ4" s="4" t="s">
        <v>14</v>
      </c>
    </row>
    <row r="5" spans="1:43" ht="45" customHeight="1" x14ac:dyDescent="0.9">
      <c r="A5" s="85" t="s">
        <v>15</v>
      </c>
      <c r="B5" s="86"/>
      <c r="C5" s="87"/>
      <c r="D5" s="57">
        <v>105</v>
      </c>
      <c r="E5" s="57">
        <v>89.995499999999993</v>
      </c>
      <c r="F5" s="57">
        <v>4.9980000000000002</v>
      </c>
      <c r="G5" s="57">
        <f>+F5/D5*100</f>
        <v>4.7600000000000007</v>
      </c>
      <c r="H5" s="74">
        <v>24.297000000000001</v>
      </c>
      <c r="I5" s="74">
        <f>+H5/D5*100</f>
        <v>23.14</v>
      </c>
      <c r="J5" s="57">
        <v>30.397500000000001</v>
      </c>
      <c r="K5" s="57">
        <v>28.95</v>
      </c>
      <c r="L5" s="57">
        <v>8.1059999999999999</v>
      </c>
      <c r="M5" s="57">
        <v>7.72</v>
      </c>
      <c r="N5" s="57">
        <v>4.0004999999999997</v>
      </c>
      <c r="O5" s="57">
        <v>3.81</v>
      </c>
      <c r="P5" s="57">
        <v>6.1005000000000003</v>
      </c>
      <c r="Q5" s="57">
        <v>5.81</v>
      </c>
      <c r="R5" s="57">
        <v>12.096</v>
      </c>
      <c r="S5" s="57">
        <v>11.52</v>
      </c>
      <c r="T5" s="57">
        <v>0</v>
      </c>
      <c r="U5" s="57">
        <v>0</v>
      </c>
      <c r="V5" s="57">
        <v>0</v>
      </c>
      <c r="W5" s="57">
        <v>0</v>
      </c>
      <c r="X5" s="57">
        <v>0</v>
      </c>
      <c r="Y5" s="57">
        <v>0</v>
      </c>
      <c r="Z5" s="57">
        <v>0</v>
      </c>
      <c r="AA5" s="57">
        <v>0</v>
      </c>
      <c r="AB5" s="57">
        <v>0</v>
      </c>
      <c r="AC5" s="57">
        <v>0</v>
      </c>
      <c r="AD5" s="57">
        <v>0</v>
      </c>
      <c r="AE5" s="57">
        <v>0</v>
      </c>
      <c r="AF5" s="57">
        <v>0</v>
      </c>
      <c r="AG5" s="57">
        <v>0</v>
      </c>
      <c r="AH5" s="57">
        <v>0</v>
      </c>
      <c r="AI5" s="57">
        <v>0</v>
      </c>
      <c r="AJ5" s="57">
        <v>0</v>
      </c>
      <c r="AK5" s="57">
        <v>0</v>
      </c>
      <c r="AL5" s="57">
        <v>0</v>
      </c>
      <c r="AM5" s="57">
        <v>0</v>
      </c>
      <c r="AN5" s="57">
        <v>0</v>
      </c>
      <c r="AO5" s="57">
        <v>0</v>
      </c>
      <c r="AP5" s="57">
        <v>0</v>
      </c>
      <c r="AQ5" s="57">
        <v>0</v>
      </c>
    </row>
    <row r="6" spans="1:43" ht="45" customHeight="1" x14ac:dyDescent="0.9">
      <c r="A6" s="85" t="s">
        <v>16</v>
      </c>
      <c r="B6" s="86"/>
      <c r="C6" s="87"/>
      <c r="D6" s="57">
        <v>46</v>
      </c>
      <c r="E6" s="57">
        <v>39.1</v>
      </c>
      <c r="F6" s="57">
        <f>$D$6*G6/100</f>
        <v>1.84</v>
      </c>
      <c r="G6" s="57">
        <v>4</v>
      </c>
      <c r="H6" s="74">
        <f>$D$6*I6/100</f>
        <v>22.843600000000002</v>
      </c>
      <c r="I6" s="74">
        <v>49.660000000000004</v>
      </c>
      <c r="J6" s="57">
        <f>$D$6*K6/100</f>
        <v>2.4564000000000004</v>
      </c>
      <c r="K6" s="57">
        <v>5.3400000000000007</v>
      </c>
      <c r="L6" s="57">
        <f>$D$6*M6/100</f>
        <v>5.52</v>
      </c>
      <c r="M6" s="57">
        <v>12</v>
      </c>
      <c r="N6" s="57">
        <f>$D$6*O6/100</f>
        <v>1.2236000000000002</v>
      </c>
      <c r="O6" s="57">
        <v>2.66</v>
      </c>
      <c r="P6" s="57">
        <f>$D$6*Q6/100</f>
        <v>2.76</v>
      </c>
      <c r="Q6" s="57">
        <v>6</v>
      </c>
      <c r="R6" s="57">
        <f>$D$6*S6/100</f>
        <v>2.4563999999999999</v>
      </c>
      <c r="S6" s="57">
        <v>5.34</v>
      </c>
      <c r="T6" s="57">
        <v>0</v>
      </c>
      <c r="U6" s="57">
        <v>0</v>
      </c>
      <c r="V6" s="57">
        <v>0</v>
      </c>
      <c r="W6" s="57">
        <v>0</v>
      </c>
      <c r="X6" s="57">
        <v>0</v>
      </c>
      <c r="Y6" s="57">
        <v>0</v>
      </c>
      <c r="Z6" s="57">
        <v>0</v>
      </c>
      <c r="AA6" s="57">
        <v>0</v>
      </c>
      <c r="AB6" s="57">
        <v>0</v>
      </c>
      <c r="AC6" s="57">
        <v>0</v>
      </c>
      <c r="AD6" s="57">
        <v>0</v>
      </c>
      <c r="AE6" s="57">
        <v>0</v>
      </c>
      <c r="AF6" s="57">
        <v>0</v>
      </c>
      <c r="AG6" s="57">
        <v>0</v>
      </c>
      <c r="AH6" s="57">
        <v>0</v>
      </c>
      <c r="AI6" s="57">
        <v>0</v>
      </c>
      <c r="AJ6" s="57">
        <v>0</v>
      </c>
      <c r="AK6" s="57">
        <v>0</v>
      </c>
      <c r="AL6" s="57">
        <v>0</v>
      </c>
      <c r="AM6" s="57">
        <v>0</v>
      </c>
      <c r="AN6" s="57">
        <v>0</v>
      </c>
      <c r="AO6" s="57">
        <v>0</v>
      </c>
      <c r="AP6" s="57">
        <v>0</v>
      </c>
      <c r="AQ6" s="57">
        <v>0</v>
      </c>
    </row>
    <row r="7" spans="1:43" ht="45" customHeight="1" x14ac:dyDescent="0.9">
      <c r="A7" s="85" t="s">
        <v>17</v>
      </c>
      <c r="B7" s="86"/>
      <c r="C7" s="87"/>
      <c r="D7" s="57">
        <v>200</v>
      </c>
      <c r="E7" s="57">
        <v>170</v>
      </c>
      <c r="F7" s="57">
        <v>10</v>
      </c>
      <c r="G7" s="57">
        <v>5</v>
      </c>
      <c r="H7" s="74">
        <v>93.67</v>
      </c>
      <c r="I7" s="74">
        <v>46.835000000000001</v>
      </c>
      <c r="J7" s="57">
        <v>12.33</v>
      </c>
      <c r="K7" s="57">
        <v>6.165</v>
      </c>
      <c r="L7" s="57">
        <v>25</v>
      </c>
      <c r="M7" s="57">
        <v>12.5</v>
      </c>
      <c r="N7" s="57">
        <v>6.67</v>
      </c>
      <c r="O7" s="57">
        <v>3.335</v>
      </c>
      <c r="P7" s="57">
        <v>11</v>
      </c>
      <c r="Q7" s="57">
        <v>5.5</v>
      </c>
      <c r="R7" s="57">
        <v>11.33</v>
      </c>
      <c r="S7" s="57">
        <v>5.665</v>
      </c>
      <c r="T7" s="57">
        <v>0</v>
      </c>
      <c r="U7" s="57">
        <v>0</v>
      </c>
      <c r="V7" s="57">
        <v>0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7">
        <v>0</v>
      </c>
      <c r="AD7" s="57">
        <v>0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57">
        <v>0</v>
      </c>
      <c r="AK7" s="57">
        <v>0</v>
      </c>
      <c r="AL7" s="57">
        <v>0</v>
      </c>
      <c r="AM7" s="57">
        <v>0</v>
      </c>
      <c r="AN7" s="57">
        <v>0</v>
      </c>
      <c r="AO7" s="57">
        <v>0</v>
      </c>
      <c r="AP7" s="57">
        <v>0</v>
      </c>
      <c r="AQ7" s="57">
        <v>0</v>
      </c>
    </row>
    <row r="8" spans="1:43" ht="45" customHeight="1" x14ac:dyDescent="0.9">
      <c r="A8" s="85" t="s">
        <v>18</v>
      </c>
      <c r="B8" s="86"/>
      <c r="C8" s="87"/>
      <c r="D8" s="57">
        <v>23</v>
      </c>
      <c r="E8" s="57">
        <v>19.55</v>
      </c>
      <c r="F8" s="57">
        <v>1.33411799</v>
      </c>
      <c r="G8" s="57">
        <v>5.8005130000000005</v>
      </c>
      <c r="H8" s="74">
        <v>10.51966019</v>
      </c>
      <c r="I8" s="74">
        <v>45.737653000000002</v>
      </c>
      <c r="J8" s="57">
        <v>1.31635141</v>
      </c>
      <c r="K8" s="57">
        <v>5.7232670000000008</v>
      </c>
      <c r="L8" s="57">
        <v>2.0178054100000002</v>
      </c>
      <c r="M8" s="57">
        <v>8.7730670000000011</v>
      </c>
      <c r="N8" s="57">
        <v>1.0955820000000001</v>
      </c>
      <c r="O8" s="57">
        <v>4.7633999999999999</v>
      </c>
      <c r="P8" s="57">
        <v>1.16879859</v>
      </c>
      <c r="Q8" s="57">
        <v>5.0817329999999998</v>
      </c>
      <c r="R8" s="57">
        <v>2.0976844099999998</v>
      </c>
      <c r="S8" s="57">
        <v>9.1203669999999999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</row>
    <row r="9" spans="1:43" s="66" customFormat="1" ht="45" customHeight="1" x14ac:dyDescent="0.9">
      <c r="A9" s="88" t="s">
        <v>19</v>
      </c>
      <c r="B9" s="89"/>
      <c r="C9" s="90"/>
      <c r="D9" s="65">
        <v>291</v>
      </c>
      <c r="E9" s="65">
        <v>247</v>
      </c>
      <c r="F9" s="65">
        <v>16</v>
      </c>
      <c r="G9" s="65">
        <f t="shared" ref="G9:G17" si="0">+F9/D9*100</f>
        <v>5.4982817869415808</v>
      </c>
      <c r="H9" s="67">
        <v>0</v>
      </c>
      <c r="I9" s="67">
        <f t="shared" ref="I9:I17" si="1">+H9/D9*100</f>
        <v>0</v>
      </c>
      <c r="J9" s="65">
        <v>20</v>
      </c>
      <c r="K9" s="65">
        <v>6.87</v>
      </c>
      <c r="L9" s="65">
        <v>20</v>
      </c>
      <c r="M9" s="65">
        <v>6.87</v>
      </c>
      <c r="N9" s="65">
        <v>12</v>
      </c>
      <c r="O9" s="65">
        <v>4.12</v>
      </c>
      <c r="P9" s="65">
        <v>15</v>
      </c>
      <c r="Q9" s="65">
        <v>5.15</v>
      </c>
      <c r="R9" s="65">
        <v>19</v>
      </c>
      <c r="S9" s="65">
        <v>6.53</v>
      </c>
      <c r="T9" s="65">
        <v>0</v>
      </c>
      <c r="U9" s="65">
        <v>0</v>
      </c>
      <c r="V9" s="65">
        <v>0</v>
      </c>
      <c r="W9" s="65">
        <v>0</v>
      </c>
      <c r="X9" s="65">
        <v>0</v>
      </c>
      <c r="Y9" s="65">
        <v>0</v>
      </c>
      <c r="Z9" s="65">
        <v>0</v>
      </c>
      <c r="AA9" s="65">
        <v>0</v>
      </c>
      <c r="AB9" s="65">
        <v>0</v>
      </c>
      <c r="AC9" s="65">
        <v>0</v>
      </c>
      <c r="AD9" s="65">
        <v>0</v>
      </c>
      <c r="AE9" s="65">
        <v>0</v>
      </c>
      <c r="AF9" s="65">
        <v>145</v>
      </c>
      <c r="AG9" s="65">
        <f>+AF9/D9*100</f>
        <v>49.828178694158076</v>
      </c>
      <c r="AH9" s="65">
        <v>0</v>
      </c>
      <c r="AI9" s="65">
        <v>0</v>
      </c>
      <c r="AJ9" s="65">
        <v>0</v>
      </c>
      <c r="AK9" s="65">
        <v>0</v>
      </c>
      <c r="AL9" s="65">
        <v>0</v>
      </c>
      <c r="AM9" s="65">
        <v>0</v>
      </c>
      <c r="AN9" s="65">
        <v>0</v>
      </c>
      <c r="AO9" s="65">
        <v>0</v>
      </c>
      <c r="AP9" s="65">
        <v>0</v>
      </c>
      <c r="AQ9" s="65">
        <v>0</v>
      </c>
    </row>
    <row r="10" spans="1:43" ht="45" customHeight="1" x14ac:dyDescent="0.9">
      <c r="A10" s="85" t="s">
        <v>20</v>
      </c>
      <c r="B10" s="86"/>
      <c r="C10" s="87"/>
      <c r="D10" s="57">
        <v>130</v>
      </c>
      <c r="E10" s="57">
        <v>111.1</v>
      </c>
      <c r="F10" s="57">
        <v>8.4700000000000006</v>
      </c>
      <c r="G10" s="57">
        <f t="shared" si="0"/>
        <v>6.5153846153846162</v>
      </c>
      <c r="H10" s="74">
        <v>48.49</v>
      </c>
      <c r="I10" s="74">
        <f t="shared" si="1"/>
        <v>37.299999999999997</v>
      </c>
      <c r="J10" s="57">
        <v>9.15</v>
      </c>
      <c r="K10" s="57">
        <v>7.04</v>
      </c>
      <c r="L10" s="57">
        <v>10.25</v>
      </c>
      <c r="M10" s="57">
        <v>7.88</v>
      </c>
      <c r="N10" s="57">
        <v>6.2</v>
      </c>
      <c r="O10" s="57">
        <v>4.7699999999999996</v>
      </c>
      <c r="P10" s="57">
        <v>6.64</v>
      </c>
      <c r="Q10" s="57">
        <v>5.1100000000000003</v>
      </c>
      <c r="R10" s="57">
        <v>21.9</v>
      </c>
      <c r="S10" s="57">
        <v>16.850000000000001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</row>
    <row r="11" spans="1:43" s="69" customFormat="1" ht="45" customHeight="1" x14ac:dyDescent="0.9">
      <c r="A11" s="88" t="s">
        <v>21</v>
      </c>
      <c r="B11" s="89"/>
      <c r="C11" s="90"/>
      <c r="D11" s="67">
        <v>750</v>
      </c>
      <c r="E11" s="67">
        <v>637.5</v>
      </c>
      <c r="F11" s="67">
        <v>37.049999999999997</v>
      </c>
      <c r="G11" s="67">
        <f t="shared" si="0"/>
        <v>4.9399999999999995</v>
      </c>
      <c r="H11" s="67">
        <v>189.32776036224314</v>
      </c>
      <c r="I11" s="67">
        <f t="shared" si="1"/>
        <v>25.243701381632416</v>
      </c>
      <c r="J11" s="67">
        <f>47.1</f>
        <v>47.1</v>
      </c>
      <c r="K11" s="67">
        <v>6.28</v>
      </c>
      <c r="L11" s="67">
        <v>51.6</v>
      </c>
      <c r="M11" s="67">
        <v>6.88</v>
      </c>
      <c r="N11" s="68">
        <v>31.05</v>
      </c>
      <c r="O11" s="68">
        <v>4.1399999999999997</v>
      </c>
      <c r="P11" s="67">
        <v>32.1</v>
      </c>
      <c r="Q11" s="67">
        <v>4.28</v>
      </c>
      <c r="R11" s="67">
        <v>56</v>
      </c>
      <c r="S11" s="67">
        <v>7.48</v>
      </c>
      <c r="T11" s="67">
        <v>1.5</v>
      </c>
      <c r="U11" s="67">
        <v>0.2</v>
      </c>
      <c r="V11" s="67">
        <v>0</v>
      </c>
      <c r="W11" s="67">
        <v>0</v>
      </c>
      <c r="X11" s="67">
        <v>0</v>
      </c>
      <c r="Y11" s="67"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0</v>
      </c>
      <c r="AE11" s="67">
        <v>0</v>
      </c>
      <c r="AF11" s="67">
        <v>191.67223963775692</v>
      </c>
      <c r="AG11" s="65">
        <f>+AF11/D11*100</f>
        <v>25.556298618367592</v>
      </c>
      <c r="AH11" s="67">
        <v>0</v>
      </c>
      <c r="AI11" s="67">
        <v>0</v>
      </c>
      <c r="AJ11" s="67">
        <v>0</v>
      </c>
      <c r="AK11" s="67">
        <v>0</v>
      </c>
      <c r="AL11" s="67">
        <v>0</v>
      </c>
      <c r="AM11" s="67">
        <v>0</v>
      </c>
      <c r="AN11" s="67">
        <v>0</v>
      </c>
      <c r="AO11" s="67">
        <v>0</v>
      </c>
      <c r="AP11" s="67">
        <v>0</v>
      </c>
      <c r="AQ11" s="67">
        <v>0</v>
      </c>
    </row>
    <row r="12" spans="1:43" ht="45" customHeight="1" x14ac:dyDescent="0.9">
      <c r="A12" s="85" t="s">
        <v>22</v>
      </c>
      <c r="B12" s="86"/>
      <c r="C12" s="87"/>
      <c r="D12" s="57">
        <v>75</v>
      </c>
      <c r="E12" s="57">
        <v>64</v>
      </c>
      <c r="F12" s="57">
        <v>5</v>
      </c>
      <c r="G12" s="57">
        <f t="shared" si="0"/>
        <v>6.666666666666667</v>
      </c>
      <c r="H12" s="74">
        <v>28</v>
      </c>
      <c r="I12" s="74">
        <f t="shared" si="1"/>
        <v>37.333333333333336</v>
      </c>
      <c r="J12" s="57">
        <v>5</v>
      </c>
      <c r="K12" s="57">
        <v>6.67</v>
      </c>
      <c r="L12" s="57">
        <v>5</v>
      </c>
      <c r="M12" s="57">
        <v>6.67</v>
      </c>
      <c r="N12" s="57">
        <v>3</v>
      </c>
      <c r="O12" s="57">
        <v>4</v>
      </c>
      <c r="P12" s="57">
        <v>13</v>
      </c>
      <c r="Q12" s="57">
        <v>17.329999999999998</v>
      </c>
      <c r="R12" s="57">
        <v>5</v>
      </c>
      <c r="S12" s="57">
        <v>6.67</v>
      </c>
      <c r="T12" s="57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0</v>
      </c>
      <c r="AF12" s="57">
        <v>0</v>
      </c>
      <c r="AG12" s="57">
        <v>0</v>
      </c>
      <c r="AH12" s="57">
        <v>0</v>
      </c>
      <c r="AI12" s="57">
        <v>0</v>
      </c>
      <c r="AJ12" s="57">
        <v>0</v>
      </c>
      <c r="AK12" s="57">
        <v>0</v>
      </c>
      <c r="AL12" s="57">
        <v>0</v>
      </c>
      <c r="AM12" s="57">
        <v>0</v>
      </c>
      <c r="AN12" s="57">
        <v>0</v>
      </c>
      <c r="AO12" s="57">
        <v>0</v>
      </c>
      <c r="AP12" s="57">
        <v>0</v>
      </c>
      <c r="AQ12" s="57">
        <v>0</v>
      </c>
    </row>
    <row r="13" spans="1:43" ht="45" customHeight="1" x14ac:dyDescent="0.9">
      <c r="A13" s="85" t="s">
        <v>23</v>
      </c>
      <c r="B13" s="86"/>
      <c r="C13" s="87"/>
      <c r="D13" s="57">
        <v>405</v>
      </c>
      <c r="E13" s="57">
        <v>345</v>
      </c>
      <c r="F13" s="57">
        <v>74</v>
      </c>
      <c r="G13" s="57">
        <f t="shared" si="0"/>
        <v>18.271604938271604</v>
      </c>
      <c r="H13" s="74">
        <v>149</v>
      </c>
      <c r="I13" s="74">
        <f t="shared" si="1"/>
        <v>36.790123456790127</v>
      </c>
      <c r="J13" s="57">
        <v>29</v>
      </c>
      <c r="K13" s="57">
        <v>7.16</v>
      </c>
      <c r="L13" s="57">
        <v>27</v>
      </c>
      <c r="M13" s="57">
        <v>6.67</v>
      </c>
      <c r="N13" s="57">
        <v>18</v>
      </c>
      <c r="O13" s="57">
        <v>4.4400000000000004</v>
      </c>
      <c r="P13" s="57">
        <v>19</v>
      </c>
      <c r="Q13" s="57">
        <v>4.6900000000000004</v>
      </c>
      <c r="R13" s="57">
        <v>29</v>
      </c>
      <c r="S13" s="57">
        <v>7.16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7">
        <v>0</v>
      </c>
      <c r="AQ13" s="57">
        <v>0</v>
      </c>
    </row>
    <row r="14" spans="1:43" ht="64.5" customHeight="1" x14ac:dyDescent="0.9">
      <c r="A14" s="85" t="s">
        <v>24</v>
      </c>
      <c r="B14" s="86"/>
      <c r="C14" s="87"/>
      <c r="D14" s="57">
        <v>101</v>
      </c>
      <c r="E14" s="57">
        <v>101</v>
      </c>
      <c r="F14" s="57">
        <v>0</v>
      </c>
      <c r="G14" s="57">
        <f t="shared" si="0"/>
        <v>0</v>
      </c>
      <c r="H14" s="74">
        <v>0</v>
      </c>
      <c r="I14" s="74">
        <f t="shared" si="1"/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101</v>
      </c>
      <c r="S14" s="57">
        <v>100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</row>
    <row r="15" spans="1:43" ht="45" customHeight="1" x14ac:dyDescent="0.9">
      <c r="A15" s="85" t="s">
        <v>102</v>
      </c>
      <c r="B15" s="86"/>
      <c r="C15" s="87"/>
      <c r="D15" s="57">
        <v>726</v>
      </c>
      <c r="E15" s="57">
        <f>726-98</f>
        <v>628</v>
      </c>
      <c r="F15" s="57">
        <v>22</v>
      </c>
      <c r="G15" s="57">
        <f t="shared" si="0"/>
        <v>3.0303030303030303</v>
      </c>
      <c r="H15" s="74">
        <v>240</v>
      </c>
      <c r="I15" s="74">
        <f t="shared" si="1"/>
        <v>33.057851239669425</v>
      </c>
      <c r="J15" s="57">
        <v>52</v>
      </c>
      <c r="K15" s="57">
        <v>7.162534</v>
      </c>
      <c r="L15" s="57">
        <v>79</v>
      </c>
      <c r="M15" s="57">
        <v>10.881542699724518</v>
      </c>
      <c r="N15" s="57">
        <v>42</v>
      </c>
      <c r="O15" s="57">
        <v>5.7851239999999997</v>
      </c>
      <c r="P15" s="57">
        <v>52</v>
      </c>
      <c r="Q15" s="57">
        <v>7.162534</v>
      </c>
      <c r="R15" s="57">
        <v>196</v>
      </c>
      <c r="S15" s="57">
        <v>26.997245179063359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0</v>
      </c>
      <c r="AF15" s="57">
        <v>0</v>
      </c>
      <c r="AG15" s="57">
        <v>0</v>
      </c>
      <c r="AH15" s="57">
        <v>0</v>
      </c>
      <c r="AI15" s="57">
        <v>0</v>
      </c>
      <c r="AJ15" s="57">
        <v>0</v>
      </c>
      <c r="AK15" s="57">
        <v>0</v>
      </c>
      <c r="AL15" s="57">
        <v>0</v>
      </c>
      <c r="AM15" s="57">
        <v>0</v>
      </c>
      <c r="AN15" s="57">
        <v>0</v>
      </c>
      <c r="AO15" s="57">
        <v>0</v>
      </c>
      <c r="AP15" s="57">
        <v>0</v>
      </c>
      <c r="AQ15" s="57">
        <v>0</v>
      </c>
    </row>
    <row r="16" spans="1:43" ht="45" customHeight="1" x14ac:dyDescent="0.9">
      <c r="A16" s="85" t="s">
        <v>25</v>
      </c>
      <c r="B16" s="86"/>
      <c r="C16" s="87"/>
      <c r="D16" s="57">
        <v>60</v>
      </c>
      <c r="E16" s="57">
        <v>60</v>
      </c>
      <c r="F16" s="57">
        <v>0</v>
      </c>
      <c r="G16" s="57">
        <f t="shared" si="0"/>
        <v>0</v>
      </c>
      <c r="H16" s="74">
        <v>0</v>
      </c>
      <c r="I16" s="74">
        <f t="shared" si="1"/>
        <v>0</v>
      </c>
      <c r="J16" s="57">
        <v>0</v>
      </c>
      <c r="K16" s="57">
        <v>0</v>
      </c>
      <c r="L16" s="57">
        <v>0</v>
      </c>
      <c r="M16" s="57">
        <v>0</v>
      </c>
      <c r="N16" s="57">
        <v>60</v>
      </c>
      <c r="O16" s="57">
        <v>100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>
        <v>0</v>
      </c>
      <c r="AE16" s="57">
        <v>0</v>
      </c>
      <c r="AF16" s="57">
        <v>0</v>
      </c>
      <c r="AG16" s="57">
        <v>0</v>
      </c>
      <c r="AH16" s="57">
        <v>0</v>
      </c>
      <c r="AI16" s="57">
        <v>0</v>
      </c>
      <c r="AJ16" s="57">
        <v>0</v>
      </c>
      <c r="AK16" s="57">
        <v>0</v>
      </c>
      <c r="AL16" s="57">
        <v>0</v>
      </c>
      <c r="AM16" s="57">
        <v>0</v>
      </c>
      <c r="AN16" s="57">
        <v>0</v>
      </c>
      <c r="AO16" s="57">
        <v>0</v>
      </c>
      <c r="AP16" s="57">
        <v>0</v>
      </c>
      <c r="AQ16" s="57">
        <v>0</v>
      </c>
    </row>
    <row r="17" spans="1:43" ht="45" customHeight="1" x14ac:dyDescent="0.9">
      <c r="A17" s="85" t="s">
        <v>26</v>
      </c>
      <c r="B17" s="86"/>
      <c r="C17" s="87"/>
      <c r="D17" s="57">
        <v>110</v>
      </c>
      <c r="E17" s="57">
        <v>93.5</v>
      </c>
      <c r="F17" s="57">
        <v>20.54</v>
      </c>
      <c r="G17" s="57">
        <f t="shared" si="0"/>
        <v>18.672727272727272</v>
      </c>
      <c r="H17" s="74">
        <v>37.28</v>
      </c>
      <c r="I17" s="74">
        <f t="shared" si="1"/>
        <v>33.890909090909091</v>
      </c>
      <c r="J17" s="57">
        <v>7.84</v>
      </c>
      <c r="K17" s="57">
        <v>7.13</v>
      </c>
      <c r="L17" s="57">
        <v>9.2799999999999994</v>
      </c>
      <c r="M17" s="57">
        <v>8.43</v>
      </c>
      <c r="N17" s="57">
        <v>4.9400000000000004</v>
      </c>
      <c r="O17" s="57">
        <v>4.49</v>
      </c>
      <c r="P17" s="57">
        <v>5.22</v>
      </c>
      <c r="Q17" s="57">
        <v>4.75</v>
      </c>
      <c r="R17" s="57">
        <v>8.4</v>
      </c>
      <c r="S17" s="57">
        <v>7.63</v>
      </c>
      <c r="T17" s="57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0</v>
      </c>
      <c r="AF17" s="57">
        <v>0</v>
      </c>
      <c r="AG17" s="57">
        <v>0</v>
      </c>
      <c r="AH17" s="57">
        <v>0</v>
      </c>
      <c r="AI17" s="57">
        <v>0</v>
      </c>
      <c r="AJ17" s="57">
        <v>0</v>
      </c>
      <c r="AK17" s="57">
        <v>0</v>
      </c>
      <c r="AL17" s="57">
        <v>0</v>
      </c>
      <c r="AM17" s="57">
        <v>0</v>
      </c>
      <c r="AN17" s="57">
        <v>0</v>
      </c>
      <c r="AO17" s="57">
        <v>0</v>
      </c>
      <c r="AP17" s="57">
        <v>0</v>
      </c>
      <c r="AQ17" s="57">
        <v>0</v>
      </c>
    </row>
    <row r="18" spans="1:43" ht="45" customHeight="1" x14ac:dyDescent="0.9">
      <c r="A18" s="85" t="s">
        <v>52</v>
      </c>
      <c r="B18" s="86"/>
      <c r="C18" s="87"/>
      <c r="D18" s="57">
        <v>600</v>
      </c>
      <c r="E18" s="57">
        <v>600</v>
      </c>
      <c r="F18" s="57">
        <v>89</v>
      </c>
      <c r="G18" s="57">
        <v>14.833333333333334</v>
      </c>
      <c r="H18" s="74">
        <v>65</v>
      </c>
      <c r="I18" s="74">
        <v>10.833333333333334</v>
      </c>
      <c r="J18" s="57">
        <v>0</v>
      </c>
      <c r="K18" s="57">
        <v>0</v>
      </c>
      <c r="L18" s="57">
        <v>15</v>
      </c>
      <c r="M18" s="57">
        <v>2.5</v>
      </c>
      <c r="N18" s="57">
        <v>0</v>
      </c>
      <c r="O18" s="57">
        <v>0</v>
      </c>
      <c r="P18" s="57">
        <v>9</v>
      </c>
      <c r="Q18" s="57">
        <v>1.5</v>
      </c>
      <c r="R18" s="57">
        <v>0</v>
      </c>
      <c r="S18" s="57">
        <v>0</v>
      </c>
      <c r="T18" s="57">
        <v>0</v>
      </c>
      <c r="U18" s="57">
        <v>0</v>
      </c>
      <c r="V18" s="57">
        <v>13</v>
      </c>
      <c r="W18" s="57">
        <v>2.1666666666666665</v>
      </c>
      <c r="X18" s="57">
        <v>55</v>
      </c>
      <c r="Y18" s="57">
        <v>9.1666666666666661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13</v>
      </c>
      <c r="AO18" s="57">
        <v>2.1666666666666665</v>
      </c>
      <c r="AP18" s="57">
        <v>13</v>
      </c>
      <c r="AQ18" s="57">
        <v>2.1666666666666665</v>
      </c>
    </row>
    <row r="19" spans="1:43" s="66" customFormat="1" ht="45" customHeight="1" x14ac:dyDescent="0.9">
      <c r="A19" s="62" t="s">
        <v>104</v>
      </c>
      <c r="B19" s="63"/>
      <c r="C19" s="64"/>
      <c r="D19" s="65">
        <v>1250</v>
      </c>
      <c r="E19" s="65">
        <v>1062.5</v>
      </c>
      <c r="F19" s="65">
        <v>171.03749999999999</v>
      </c>
      <c r="G19" s="65">
        <f>F19*100/$D$19</f>
        <v>13.683</v>
      </c>
      <c r="H19" s="67">
        <v>12.5</v>
      </c>
      <c r="I19" s="67">
        <f>H19*100/$D$19</f>
        <v>1</v>
      </c>
      <c r="J19" s="65">
        <v>27.114999999999998</v>
      </c>
      <c r="K19" s="65">
        <f>J19*100/$D$19</f>
        <v>2.1692</v>
      </c>
      <c r="L19" s="65">
        <v>30.8825</v>
      </c>
      <c r="M19" s="65">
        <f>L19*100/$D$19</f>
        <v>2.4706000000000001</v>
      </c>
      <c r="N19" s="65">
        <v>17.434999999999999</v>
      </c>
      <c r="O19" s="65">
        <v>1.3948</v>
      </c>
      <c r="P19" s="65">
        <v>18.205000000000002</v>
      </c>
      <c r="Q19" s="65">
        <v>1.4564000000000001</v>
      </c>
      <c r="R19" s="65">
        <v>30.3325</v>
      </c>
      <c r="S19" s="65">
        <v>2.4266000000000001</v>
      </c>
      <c r="T19" s="65">
        <f>$E$18*U19*0.01</f>
        <v>0</v>
      </c>
      <c r="U19" s="65">
        <v>0</v>
      </c>
      <c r="V19" s="65">
        <v>26.872312500000003</v>
      </c>
      <c r="W19" s="65">
        <v>2.1497850000000001</v>
      </c>
      <c r="X19" s="65">
        <f>$D$19*Y19/100</f>
        <v>113.729625</v>
      </c>
      <c r="Y19" s="70">
        <v>9.0983699999999992</v>
      </c>
      <c r="Z19" s="65">
        <v>0</v>
      </c>
      <c r="AA19" s="65">
        <v>0</v>
      </c>
      <c r="AB19" s="65">
        <f>$D$19*AC19/100</f>
        <v>3.1443750000000001</v>
      </c>
      <c r="AC19" s="65">
        <v>0.25155</v>
      </c>
      <c r="AD19" s="65">
        <f>$D$19*AE19/100</f>
        <v>58.122562500000001</v>
      </c>
      <c r="AE19" s="65">
        <v>4.6498050000000006</v>
      </c>
      <c r="AF19" s="65">
        <v>205.25393750000001</v>
      </c>
      <c r="AG19" s="65">
        <v>16.420314999999999</v>
      </c>
      <c r="AH19" s="65">
        <f>$D$19*AI19/100</f>
        <v>114.3628125</v>
      </c>
      <c r="AI19" s="65">
        <v>9.149025</v>
      </c>
      <c r="AJ19" s="65">
        <f>$D$19*AK19/100</f>
        <v>65.629312499999997</v>
      </c>
      <c r="AK19" s="65">
        <v>5.2503449999999994</v>
      </c>
      <c r="AL19" s="65">
        <f>$D$19*AM19/100</f>
        <v>4.9806249999999999</v>
      </c>
      <c r="AM19" s="65">
        <v>0.39844999999999997</v>
      </c>
      <c r="AN19" s="65">
        <f>$D$19*AO19/100</f>
        <v>96.892312499999989</v>
      </c>
      <c r="AO19" s="65">
        <v>7.7513849999999991</v>
      </c>
      <c r="AP19" s="65">
        <v>25.998500000000003</v>
      </c>
      <c r="AQ19" s="65">
        <v>2.0798800000000002</v>
      </c>
    </row>
    <row r="20" spans="1:43" ht="62.25" customHeight="1" x14ac:dyDescent="0.9">
      <c r="A20" s="85" t="s">
        <v>27</v>
      </c>
      <c r="B20" s="86"/>
      <c r="C20" s="87"/>
      <c r="D20" s="57">
        <f>SUM(D5:D19)</f>
        <v>4872</v>
      </c>
      <c r="E20" s="57">
        <f>SUM(E5:E19)</f>
        <v>4268.2455</v>
      </c>
      <c r="F20" s="57">
        <f>SUM(F5:F19)</f>
        <v>461.26961799000003</v>
      </c>
      <c r="G20" s="57"/>
      <c r="H20" s="74">
        <f>SUM(H5:H19)</f>
        <v>920.9280205522432</v>
      </c>
      <c r="I20" s="71"/>
      <c r="J20" s="57">
        <f t="shared" ref="J20:AN20" si="2">SUM(J5:J19)</f>
        <v>243.70525141000002</v>
      </c>
      <c r="K20" s="57"/>
      <c r="L20" s="57">
        <f t="shared" si="2"/>
        <v>288.65630541000002</v>
      </c>
      <c r="M20" s="57"/>
      <c r="N20" s="57">
        <f t="shared" si="2"/>
        <v>207.61468200000002</v>
      </c>
      <c r="O20" s="57"/>
      <c r="P20" s="57">
        <f t="shared" si="2"/>
        <v>191.19429859000002</v>
      </c>
      <c r="Q20" s="57"/>
      <c r="R20" s="57">
        <f t="shared" si="2"/>
        <v>494.61258440999995</v>
      </c>
      <c r="S20" s="57"/>
      <c r="T20" s="57">
        <f t="shared" si="2"/>
        <v>1.5</v>
      </c>
      <c r="U20" s="57"/>
      <c r="V20" s="57">
        <f t="shared" si="2"/>
        <v>39.872312500000007</v>
      </c>
      <c r="W20" s="57"/>
      <c r="X20" s="57">
        <f t="shared" si="2"/>
        <v>168.729625</v>
      </c>
      <c r="Y20" s="57"/>
      <c r="Z20" s="57">
        <f t="shared" si="2"/>
        <v>0</v>
      </c>
      <c r="AA20" s="57"/>
      <c r="AB20" s="57">
        <f t="shared" si="2"/>
        <v>3.1443750000000001</v>
      </c>
      <c r="AC20" s="57"/>
      <c r="AD20" s="57">
        <f t="shared" si="2"/>
        <v>58.122562500000001</v>
      </c>
      <c r="AE20" s="57"/>
      <c r="AF20" s="57">
        <f t="shared" si="2"/>
        <v>541.92617713775689</v>
      </c>
      <c r="AG20" s="57"/>
      <c r="AH20" s="57">
        <f t="shared" si="2"/>
        <v>114.3628125</v>
      </c>
      <c r="AI20" s="57"/>
      <c r="AJ20" s="57">
        <f t="shared" si="2"/>
        <v>65.629312499999997</v>
      </c>
      <c r="AK20" s="57"/>
      <c r="AL20" s="57">
        <f t="shared" si="2"/>
        <v>4.9806249999999999</v>
      </c>
      <c r="AM20" s="57"/>
      <c r="AN20" s="57">
        <f t="shared" si="2"/>
        <v>109.89231249999999</v>
      </c>
      <c r="AO20" s="57"/>
      <c r="AP20" s="57">
        <f t="shared" ref="AP20" si="3">SUM(AP5:AP19)</f>
        <v>38.998500000000007</v>
      </c>
      <c r="AQ20" s="57"/>
    </row>
    <row r="21" spans="1:43" ht="108" customHeight="1" x14ac:dyDescent="0.85">
      <c r="A21" s="107" t="s">
        <v>28</v>
      </c>
      <c r="B21" s="86"/>
      <c r="C21" s="87"/>
      <c r="D21" s="57"/>
      <c r="E21" s="57"/>
      <c r="F21" s="57"/>
      <c r="G21" s="57"/>
      <c r="H21" s="71"/>
      <c r="I21" s="71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</row>
    <row r="22" spans="1:43" ht="51.75" customHeight="1" x14ac:dyDescent="0.9">
      <c r="A22" s="85" t="s">
        <v>87</v>
      </c>
      <c r="B22" s="86"/>
      <c r="C22" s="87"/>
      <c r="D22" s="57"/>
      <c r="E22" s="57">
        <f>H22+R22</f>
        <v>61.68</v>
      </c>
      <c r="F22" s="57"/>
      <c r="G22" s="57"/>
      <c r="H22" s="74">
        <v>11.68</v>
      </c>
      <c r="I22" s="74">
        <v>0.73</v>
      </c>
      <c r="J22" s="57"/>
      <c r="K22" s="57"/>
      <c r="L22" s="57"/>
      <c r="M22" s="57"/>
      <c r="N22" s="57"/>
      <c r="O22" s="57"/>
      <c r="P22" s="57"/>
      <c r="Q22" s="57"/>
      <c r="R22" s="57">
        <v>50</v>
      </c>
      <c r="S22" s="57">
        <v>3.125</v>
      </c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</row>
    <row r="23" spans="1:43" ht="51.75" customHeight="1" x14ac:dyDescent="0.9">
      <c r="A23" s="85" t="s">
        <v>88</v>
      </c>
      <c r="B23" s="86"/>
      <c r="C23" s="87"/>
      <c r="D23" s="57"/>
      <c r="E23" s="57">
        <v>296.43599999999998</v>
      </c>
      <c r="F23" s="57"/>
      <c r="G23" s="57"/>
      <c r="H23" s="74">
        <v>296.43599999999998</v>
      </c>
      <c r="I23" s="74">
        <v>35.29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</row>
    <row r="24" spans="1:43" ht="51.75" customHeight="1" x14ac:dyDescent="0.9">
      <c r="A24" s="85" t="s">
        <v>89</v>
      </c>
      <c r="B24" s="86"/>
      <c r="C24" s="87"/>
      <c r="D24" s="57"/>
      <c r="E24" s="57">
        <f>H24</f>
        <v>4.9000000000000004</v>
      </c>
      <c r="F24" s="57"/>
      <c r="G24" s="57"/>
      <c r="H24" s="74">
        <v>4.9000000000000004</v>
      </c>
      <c r="I24" s="74">
        <v>0.49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</row>
    <row r="25" spans="1:43" ht="51.75" customHeight="1" x14ac:dyDescent="0.9">
      <c r="A25" s="85" t="s">
        <v>105</v>
      </c>
      <c r="B25" s="86"/>
      <c r="C25" s="87"/>
      <c r="D25" s="57"/>
      <c r="E25" s="57"/>
      <c r="F25" s="57"/>
      <c r="G25" s="57"/>
      <c r="H25" s="74"/>
      <c r="I25" s="74"/>
      <c r="J25" s="57"/>
      <c r="K25" s="57"/>
      <c r="L25" s="57"/>
      <c r="M25" s="57"/>
      <c r="N25" s="57"/>
      <c r="O25" s="57"/>
      <c r="P25" s="57"/>
      <c r="Q25" s="57"/>
      <c r="R25" s="57">
        <v>5.55</v>
      </c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</row>
    <row r="26" spans="1:43" ht="51.75" customHeight="1" x14ac:dyDescent="0.9">
      <c r="A26" s="85" t="s">
        <v>90</v>
      </c>
      <c r="B26" s="86"/>
      <c r="C26" s="87"/>
      <c r="D26" s="57"/>
      <c r="E26" s="57">
        <f>H26</f>
        <v>122.47199999999999</v>
      </c>
      <c r="F26" s="57"/>
      <c r="G26" s="57"/>
      <c r="H26" s="74">
        <v>122.47199999999999</v>
      </c>
      <c r="I26" s="74">
        <v>17.010000000000002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</row>
    <row r="27" spans="1:43" ht="51.75" customHeight="1" x14ac:dyDescent="0.9">
      <c r="A27" s="85" t="s">
        <v>91</v>
      </c>
      <c r="B27" s="86"/>
      <c r="C27" s="87"/>
      <c r="D27" s="57"/>
      <c r="E27" s="57">
        <f>H27+J27+P27</f>
        <v>69.87</v>
      </c>
      <c r="F27" s="57"/>
      <c r="G27" s="57"/>
      <c r="H27" s="74">
        <v>64.158000000000001</v>
      </c>
      <c r="I27" s="74">
        <v>6.29</v>
      </c>
      <c r="J27" s="57">
        <v>5.7119999999999997</v>
      </c>
      <c r="K27" s="57">
        <v>0.56000000000000005</v>
      </c>
      <c r="L27" s="57"/>
      <c r="M27" s="57"/>
      <c r="N27" s="57">
        <v>0</v>
      </c>
      <c r="O27" s="57"/>
      <c r="P27" s="57">
        <v>0</v>
      </c>
      <c r="Q27" s="57">
        <v>0</v>
      </c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</row>
    <row r="28" spans="1:43" ht="62.25" customHeight="1" x14ac:dyDescent="0.9">
      <c r="A28" s="85" t="s">
        <v>99</v>
      </c>
      <c r="B28" s="86"/>
      <c r="C28" s="87"/>
      <c r="D28" s="57"/>
      <c r="E28" s="57">
        <f>SUM(E22:E27)</f>
        <v>555.35799999999995</v>
      </c>
      <c r="F28" s="57"/>
      <c r="G28" s="57"/>
      <c r="H28" s="74">
        <f>SUM(H22:H27)</f>
        <v>499.64599999999996</v>
      </c>
      <c r="I28" s="74"/>
      <c r="J28" s="57">
        <f>SUM(J22:J27)</f>
        <v>5.7119999999999997</v>
      </c>
      <c r="K28" s="57"/>
      <c r="L28" s="57">
        <f>SUM(L22:L27)</f>
        <v>0</v>
      </c>
      <c r="M28" s="57"/>
      <c r="N28" s="57">
        <f>SUM(N22:N27)</f>
        <v>0</v>
      </c>
      <c r="O28" s="57"/>
      <c r="P28" s="57">
        <f>SUM(P22:P27)</f>
        <v>0</v>
      </c>
      <c r="Q28" s="57"/>
      <c r="R28" s="57">
        <f>SUM(R22:R27)</f>
        <v>55.55</v>
      </c>
      <c r="S28" s="57"/>
      <c r="T28" s="57">
        <f>SUM(T22:T27)</f>
        <v>0</v>
      </c>
      <c r="U28" s="57"/>
      <c r="V28" s="57">
        <f>SUM(V22:V27)</f>
        <v>0</v>
      </c>
      <c r="W28" s="57"/>
      <c r="X28" s="57">
        <f>SUM(X22:X27)</f>
        <v>0</v>
      </c>
      <c r="Y28" s="57"/>
      <c r="Z28" s="57">
        <f>SUM(Z22:Z27)</f>
        <v>0</v>
      </c>
      <c r="AA28" s="57"/>
      <c r="AB28" s="57">
        <f>SUM(AB22:AB27)</f>
        <v>0</v>
      </c>
      <c r="AC28" s="57"/>
      <c r="AD28" s="57">
        <f>SUM(AD22:AD27)</f>
        <v>0</v>
      </c>
      <c r="AE28" s="57"/>
      <c r="AF28" s="57">
        <f>SUM(AF22:AF27)</f>
        <v>0</v>
      </c>
      <c r="AG28" s="57"/>
      <c r="AH28" s="57">
        <f>SUM(AH22:AH27)</f>
        <v>0</v>
      </c>
      <c r="AI28" s="57"/>
      <c r="AJ28" s="57">
        <f>SUM(AJ22:AJ27)</f>
        <v>0</v>
      </c>
      <c r="AK28" s="57"/>
      <c r="AL28" s="57">
        <f>SUM(AL22:AL27)</f>
        <v>0</v>
      </c>
      <c r="AM28" s="57"/>
      <c r="AN28" s="57">
        <f>SUM(AN22:AN27)</f>
        <v>0</v>
      </c>
      <c r="AO28" s="57"/>
      <c r="AP28" s="57">
        <f>SUM(AP22:AP27)</f>
        <v>0</v>
      </c>
      <c r="AQ28" s="57"/>
    </row>
    <row r="29" spans="1:43" ht="50.25" customHeight="1" x14ac:dyDescent="0.85">
      <c r="A29" s="107" t="s">
        <v>29</v>
      </c>
      <c r="B29" s="86"/>
      <c r="C29" s="87"/>
      <c r="D29" s="57"/>
      <c r="E29" s="57">
        <f>E20+E28</f>
        <v>4823.6035000000002</v>
      </c>
      <c r="F29" s="57">
        <f>F20+F28</f>
        <v>461.26961799000003</v>
      </c>
      <c r="G29" s="57"/>
      <c r="H29" s="74">
        <f>H20+H28</f>
        <v>1420.5740205522432</v>
      </c>
      <c r="I29" s="74"/>
      <c r="J29" s="57">
        <f>J20+J28</f>
        <v>249.41725141000001</v>
      </c>
      <c r="K29" s="57"/>
      <c r="L29" s="57">
        <f>L20+L28</f>
        <v>288.65630541000002</v>
      </c>
      <c r="M29" s="57"/>
      <c r="N29" s="57">
        <f>N20+N28</f>
        <v>207.61468200000002</v>
      </c>
      <c r="O29" s="57"/>
      <c r="P29" s="57">
        <f>P20+P28</f>
        <v>191.19429859000002</v>
      </c>
      <c r="Q29" s="57"/>
      <c r="R29" s="57">
        <f>R20+R28</f>
        <v>550.16258440999991</v>
      </c>
      <c r="S29" s="57"/>
      <c r="T29" s="57">
        <f>T20+T28</f>
        <v>1.5</v>
      </c>
      <c r="U29" s="57"/>
      <c r="V29" s="57">
        <f>V20+V28</f>
        <v>39.872312500000007</v>
      </c>
      <c r="W29" s="57"/>
      <c r="X29" s="57">
        <f>X20+X28</f>
        <v>168.729625</v>
      </c>
      <c r="Y29" s="57"/>
      <c r="Z29" s="57">
        <f>Z20+Z28</f>
        <v>0</v>
      </c>
      <c r="AA29" s="57"/>
      <c r="AB29" s="57">
        <f>AB20+AB28</f>
        <v>3.1443750000000001</v>
      </c>
      <c r="AC29" s="57"/>
      <c r="AD29" s="57">
        <f>AD20+AD28</f>
        <v>58.122562500000001</v>
      </c>
      <c r="AE29" s="57"/>
      <c r="AF29" s="57">
        <f>AF20+AF28</f>
        <v>541.92617713775689</v>
      </c>
      <c r="AG29" s="57"/>
      <c r="AH29" s="57">
        <f>AH20+AH28</f>
        <v>114.3628125</v>
      </c>
      <c r="AI29" s="57"/>
      <c r="AJ29" s="57">
        <f>AJ20+AJ28</f>
        <v>65.629312499999997</v>
      </c>
      <c r="AK29" s="57"/>
      <c r="AL29" s="57">
        <f>AL20+AL28</f>
        <v>4.9806249999999999</v>
      </c>
      <c r="AM29" s="57"/>
      <c r="AN29" s="57">
        <f>AN20+AN28</f>
        <v>109.89231249999999</v>
      </c>
      <c r="AO29" s="57"/>
      <c r="AP29" s="57">
        <f>AP20+AP28</f>
        <v>38.998500000000007</v>
      </c>
      <c r="AQ29" s="57"/>
    </row>
    <row r="30" spans="1:43" ht="118.5" customHeight="1" x14ac:dyDescent="0.25">
      <c r="A30" s="105" t="s">
        <v>53</v>
      </c>
      <c r="B30" s="86"/>
      <c r="C30" s="87"/>
      <c r="D30" s="58"/>
      <c r="E30" s="58"/>
      <c r="F30" s="58"/>
      <c r="G30" s="58"/>
      <c r="H30" s="72"/>
      <c r="I30" s="72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</row>
    <row r="31" spans="1:43" ht="33.75" customHeight="1" x14ac:dyDescent="0.9">
      <c r="A31" s="85" t="s">
        <v>30</v>
      </c>
      <c r="B31" s="86"/>
      <c r="C31" s="86"/>
      <c r="D31" s="5">
        <v>105</v>
      </c>
      <c r="E31" s="5">
        <v>15.0045</v>
      </c>
      <c r="F31" s="5">
        <v>0.19255775000000003</v>
      </c>
      <c r="G31" s="5">
        <f>+F31/D31*100</f>
        <v>0.18338833333333335</v>
      </c>
      <c r="H31" s="75">
        <v>6.6219860000000006</v>
      </c>
      <c r="I31" s="75">
        <f>+H31/D31*100</f>
        <v>6.3066533333333341</v>
      </c>
      <c r="J31" s="5">
        <v>1.2253674999999999</v>
      </c>
      <c r="K31" s="5">
        <f>+J31/D31*100</f>
        <v>1.1670166666666666</v>
      </c>
      <c r="L31" s="5">
        <v>4.9014699999999998</v>
      </c>
      <c r="M31" s="5">
        <f>+L31/D31*100</f>
        <v>4.6680666666666664</v>
      </c>
      <c r="N31" s="5">
        <v>1.2753825000000001</v>
      </c>
      <c r="O31" s="5">
        <f>+N31/D31*100</f>
        <v>1.21465</v>
      </c>
      <c r="P31" s="5">
        <v>0.65019499999999997</v>
      </c>
      <c r="Q31" s="5">
        <f>+P31/D31*100</f>
        <v>0.6192333333333333</v>
      </c>
      <c r="R31" s="5">
        <v>0.13754125</v>
      </c>
      <c r="S31" s="5">
        <f>+R31/D31*100</f>
        <v>0.13099166666666667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</row>
    <row r="32" spans="1:43" ht="45" customHeight="1" x14ac:dyDescent="0.9">
      <c r="A32" s="85" t="s">
        <v>31</v>
      </c>
      <c r="B32" s="86"/>
      <c r="C32" s="86"/>
      <c r="D32" s="5">
        <v>46</v>
      </c>
      <c r="E32" s="5">
        <v>6.9</v>
      </c>
      <c r="F32" s="5">
        <v>8.8550000000000004E-2</v>
      </c>
      <c r="G32" s="5">
        <f t="shared" ref="G32:G40" si="4">+F32/D32*100</f>
        <v>0.1925</v>
      </c>
      <c r="H32" s="75">
        <v>3.0451999999999999</v>
      </c>
      <c r="I32" s="75">
        <f t="shared" ref="I32:I40" si="5">+H32/D32*100</f>
        <v>6.6199999999999992</v>
      </c>
      <c r="J32" s="5">
        <v>0.56349999999999989</v>
      </c>
      <c r="K32" s="5">
        <f t="shared" ref="K32:K40" si="6">+J32/D32*100</f>
        <v>1.2249999999999996</v>
      </c>
      <c r="L32" s="5">
        <v>2.2539999999999996</v>
      </c>
      <c r="M32" s="5">
        <f t="shared" ref="M32:M40" si="7">+L32/D32*100</f>
        <v>4.8999999999999986</v>
      </c>
      <c r="N32" s="5">
        <v>0.58650000000000002</v>
      </c>
      <c r="O32" s="5">
        <f t="shared" ref="O32:O40" si="8">+N32/D32*100</f>
        <v>1.2750000000000001</v>
      </c>
      <c r="P32" s="5">
        <v>0.29899999999999993</v>
      </c>
      <c r="Q32" s="5">
        <f t="shared" ref="Q32:Q40" si="9">+P32/D32*100</f>
        <v>0.64999999999999991</v>
      </c>
      <c r="R32" s="5">
        <v>6.3249999999999987E-2</v>
      </c>
      <c r="S32" s="5">
        <f t="shared" ref="S32:S40" si="10">+R32/D32*100</f>
        <v>0.13749999999999998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</row>
    <row r="33" spans="1:43" ht="45" customHeight="1" x14ac:dyDescent="0.9">
      <c r="A33" s="85" t="s">
        <v>32</v>
      </c>
      <c r="B33" s="86"/>
      <c r="C33" s="86"/>
      <c r="D33" s="5">
        <v>200</v>
      </c>
      <c r="E33" s="5">
        <v>30</v>
      </c>
      <c r="F33" s="5">
        <v>0.38500000000000001</v>
      </c>
      <c r="G33" s="5">
        <f t="shared" si="4"/>
        <v>0.1925</v>
      </c>
      <c r="H33" s="75">
        <v>13.24</v>
      </c>
      <c r="I33" s="75">
        <f t="shared" si="5"/>
        <v>6.6199999999999992</v>
      </c>
      <c r="J33" s="5">
        <v>2.4499999999999997</v>
      </c>
      <c r="K33" s="5">
        <f t="shared" si="6"/>
        <v>1.2249999999999999</v>
      </c>
      <c r="L33" s="5">
        <v>9.7999999999999989</v>
      </c>
      <c r="M33" s="5">
        <f t="shared" si="7"/>
        <v>4.8999999999999995</v>
      </c>
      <c r="N33" s="5">
        <v>2.5500000000000003</v>
      </c>
      <c r="O33" s="5">
        <f t="shared" si="8"/>
        <v>1.2750000000000001</v>
      </c>
      <c r="P33" s="5">
        <v>1.3</v>
      </c>
      <c r="Q33" s="5">
        <f t="shared" si="9"/>
        <v>0.65</v>
      </c>
      <c r="R33" s="5">
        <v>0.27499999999999997</v>
      </c>
      <c r="S33" s="5">
        <f t="shared" si="10"/>
        <v>0.13749999999999998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</row>
    <row r="34" spans="1:43" ht="45" customHeight="1" x14ac:dyDescent="0.9">
      <c r="A34" s="85" t="s">
        <v>33</v>
      </c>
      <c r="B34" s="86"/>
      <c r="C34" s="86"/>
      <c r="D34" s="5">
        <v>23</v>
      </c>
      <c r="E34" s="5">
        <v>3.4499999999999997</v>
      </c>
      <c r="F34" s="5">
        <f>'UA Pool'!E22</f>
        <v>4.4275000000000002E-2</v>
      </c>
      <c r="G34" s="5">
        <f t="shared" si="4"/>
        <v>0.1925</v>
      </c>
      <c r="H34" s="75">
        <f>'UA Pool'!E23</f>
        <v>1.5226</v>
      </c>
      <c r="I34" s="75">
        <f t="shared" si="5"/>
        <v>6.6199999999999992</v>
      </c>
      <c r="J34" s="5">
        <f>'UA Pool'!E24</f>
        <v>0.28174999999999994</v>
      </c>
      <c r="K34" s="5">
        <f t="shared" si="6"/>
        <v>1.2249999999999996</v>
      </c>
      <c r="L34" s="5">
        <f>'UA Pool'!E25</f>
        <v>1.1269999999999998</v>
      </c>
      <c r="M34" s="5">
        <f t="shared" si="7"/>
        <v>4.8999999999999986</v>
      </c>
      <c r="N34" s="5">
        <f>'UA Pool'!E26</f>
        <v>0.29325000000000001</v>
      </c>
      <c r="O34" s="5">
        <f t="shared" si="8"/>
        <v>1.2750000000000001</v>
      </c>
      <c r="P34" s="5">
        <f>'UA Pool'!E27</f>
        <v>0.14949999999999997</v>
      </c>
      <c r="Q34" s="5">
        <f t="shared" si="9"/>
        <v>0.64999999999999991</v>
      </c>
      <c r="R34" s="5">
        <f>'UA Pool'!E28</f>
        <v>3.1624999999999993E-2</v>
      </c>
      <c r="S34" s="5">
        <f t="shared" si="10"/>
        <v>0.13749999999999998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</row>
    <row r="35" spans="1:43" ht="45" customHeight="1" x14ac:dyDescent="0.9">
      <c r="A35" s="85" t="s">
        <v>34</v>
      </c>
      <c r="B35" s="86"/>
      <c r="C35" s="86"/>
      <c r="D35" s="5">
        <v>291</v>
      </c>
      <c r="E35" s="5">
        <v>44</v>
      </c>
      <c r="F35" s="5">
        <v>0.56466666666666665</v>
      </c>
      <c r="G35" s="5">
        <f t="shared" si="4"/>
        <v>0.19404352806414663</v>
      </c>
      <c r="H35" s="75">
        <v>0</v>
      </c>
      <c r="I35" s="75">
        <f t="shared" si="5"/>
        <v>0</v>
      </c>
      <c r="J35" s="5">
        <v>3.5933333333333333</v>
      </c>
      <c r="K35" s="5">
        <f t="shared" si="6"/>
        <v>1.2348224513172967</v>
      </c>
      <c r="L35" s="5">
        <v>14.373333333333333</v>
      </c>
      <c r="M35" s="5">
        <f t="shared" si="7"/>
        <v>4.9392898052691869</v>
      </c>
      <c r="N35" s="5">
        <v>3.74</v>
      </c>
      <c r="O35" s="5">
        <f t="shared" si="8"/>
        <v>1.2852233676975946</v>
      </c>
      <c r="P35" s="5">
        <v>1.9066666666666665</v>
      </c>
      <c r="Q35" s="5">
        <f t="shared" si="9"/>
        <v>0.6552119129438716</v>
      </c>
      <c r="R35" s="5">
        <v>0.40333333333333327</v>
      </c>
      <c r="S35" s="5">
        <f t="shared" si="10"/>
        <v>0.13860252004581899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19.418666666666667</v>
      </c>
      <c r="AG35" s="5">
        <v>6.6730813287514321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</row>
    <row r="36" spans="1:43" ht="45" customHeight="1" x14ac:dyDescent="0.9">
      <c r="A36" s="85" t="s">
        <v>35</v>
      </c>
      <c r="B36" s="86"/>
      <c r="C36" s="86"/>
      <c r="D36" s="5">
        <v>130</v>
      </c>
      <c r="E36" s="5">
        <v>18.899999999999999</v>
      </c>
      <c r="F36" s="5">
        <v>0.24255000000000002</v>
      </c>
      <c r="G36" s="5">
        <f t="shared" si="4"/>
        <v>0.18657692307692308</v>
      </c>
      <c r="H36" s="75">
        <v>8.3412000000000006</v>
      </c>
      <c r="I36" s="75">
        <f t="shared" si="5"/>
        <v>6.4163076923076936</v>
      </c>
      <c r="J36" s="5">
        <v>1.5435000000000001</v>
      </c>
      <c r="K36" s="5">
        <f t="shared" si="6"/>
        <v>1.1873076923076924</v>
      </c>
      <c r="L36" s="5">
        <v>6.1739999999999995</v>
      </c>
      <c r="M36" s="5">
        <f t="shared" si="7"/>
        <v>4.7492307692307687</v>
      </c>
      <c r="N36" s="5">
        <v>1.6065000000000003</v>
      </c>
      <c r="O36" s="5">
        <f t="shared" si="8"/>
        <v>1.235769230769231</v>
      </c>
      <c r="P36" s="5">
        <v>0.81900000000000006</v>
      </c>
      <c r="Q36" s="5">
        <f t="shared" si="9"/>
        <v>0.63</v>
      </c>
      <c r="R36" s="5">
        <v>0.17325000000000002</v>
      </c>
      <c r="S36" s="5">
        <f t="shared" si="10"/>
        <v>0.13326923076923078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</row>
    <row r="37" spans="1:43" ht="45" customHeight="1" x14ac:dyDescent="0.9">
      <c r="A37" s="85" t="s">
        <v>36</v>
      </c>
      <c r="B37" s="86"/>
      <c r="C37" s="86"/>
      <c r="D37" s="5">
        <v>750</v>
      </c>
      <c r="E37" s="5">
        <v>112.5</v>
      </c>
      <c r="F37" s="5">
        <v>1.4437499999999999</v>
      </c>
      <c r="G37" s="5">
        <f t="shared" si="4"/>
        <v>0.19249999999999998</v>
      </c>
      <c r="H37" s="75">
        <v>24.672239637756881</v>
      </c>
      <c r="I37" s="75">
        <f t="shared" si="5"/>
        <v>3.2896319517009172</v>
      </c>
      <c r="J37" s="5">
        <v>9.1875</v>
      </c>
      <c r="K37" s="5">
        <f t="shared" si="6"/>
        <v>1.2250000000000001</v>
      </c>
      <c r="L37" s="5">
        <f>1.4+35.35</f>
        <v>36.75</v>
      </c>
      <c r="M37" s="5">
        <f>0.186666666666667+4.71333</f>
        <v>4.8999966666666674</v>
      </c>
      <c r="N37" s="5">
        <v>9.5625</v>
      </c>
      <c r="O37" s="5">
        <f t="shared" si="8"/>
        <v>1.2749999999999999</v>
      </c>
      <c r="P37" s="5">
        <v>4.875</v>
      </c>
      <c r="Q37" s="5">
        <f t="shared" si="9"/>
        <v>0.65</v>
      </c>
      <c r="R37" s="5">
        <v>1.03125</v>
      </c>
      <c r="S37" s="5">
        <f t="shared" si="10"/>
        <v>0.13749999999999998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24.977760362243124</v>
      </c>
      <c r="AG37" s="5">
        <v>3.3303680482990834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</row>
    <row r="38" spans="1:43" ht="45" customHeight="1" x14ac:dyDescent="0.9">
      <c r="A38" s="85" t="s">
        <v>37</v>
      </c>
      <c r="B38" s="86"/>
      <c r="C38" s="86"/>
      <c r="D38" s="5">
        <v>75</v>
      </c>
      <c r="E38" s="5">
        <v>11</v>
      </c>
      <c r="F38" s="5">
        <v>0.14116666666666666</v>
      </c>
      <c r="G38" s="5">
        <f t="shared" si="4"/>
        <v>0.18822222222222221</v>
      </c>
      <c r="H38" s="75">
        <v>4.8546666666666667</v>
      </c>
      <c r="I38" s="75">
        <f t="shared" si="5"/>
        <v>6.4728888888888889</v>
      </c>
      <c r="J38" s="5">
        <v>0.89833333333333332</v>
      </c>
      <c r="K38" s="5">
        <f t="shared" si="6"/>
        <v>1.1977777777777778</v>
      </c>
      <c r="L38" s="5">
        <v>3.5933333333333333</v>
      </c>
      <c r="M38" s="5">
        <f t="shared" si="7"/>
        <v>4.7911111111111113</v>
      </c>
      <c r="N38" s="5">
        <v>0.93500000000000005</v>
      </c>
      <c r="O38" s="5">
        <f t="shared" si="8"/>
        <v>1.2466666666666668</v>
      </c>
      <c r="P38" s="5">
        <v>0.47666666666666663</v>
      </c>
      <c r="Q38" s="5">
        <f t="shared" si="9"/>
        <v>0.63555555555555554</v>
      </c>
      <c r="R38" s="5">
        <v>0.10083333333333332</v>
      </c>
      <c r="S38" s="5">
        <f t="shared" si="10"/>
        <v>0.13444444444444442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</row>
    <row r="39" spans="1:43" ht="45" customHeight="1" x14ac:dyDescent="0.9">
      <c r="A39" s="85" t="s">
        <v>38</v>
      </c>
      <c r="B39" s="86"/>
      <c r="C39" s="86"/>
      <c r="D39" s="5">
        <v>405</v>
      </c>
      <c r="E39" s="5">
        <v>60</v>
      </c>
      <c r="F39" s="5">
        <v>0.77</v>
      </c>
      <c r="G39" s="5">
        <f t="shared" si="4"/>
        <v>0.19012345679012346</v>
      </c>
      <c r="H39" s="75">
        <v>26.48</v>
      </c>
      <c r="I39" s="75">
        <f t="shared" si="5"/>
        <v>6.538271604938271</v>
      </c>
      <c r="J39" s="5">
        <v>4.8999999999999995</v>
      </c>
      <c r="K39" s="5">
        <f t="shared" si="6"/>
        <v>1.2098765432098764</v>
      </c>
      <c r="L39" s="5">
        <v>19.599999999999998</v>
      </c>
      <c r="M39" s="5">
        <f t="shared" si="7"/>
        <v>4.8395061728395055</v>
      </c>
      <c r="N39" s="5">
        <v>5.1000000000000005</v>
      </c>
      <c r="O39" s="5">
        <f t="shared" si="8"/>
        <v>1.2592592592592595</v>
      </c>
      <c r="P39" s="5">
        <v>2.6</v>
      </c>
      <c r="Q39" s="5">
        <f t="shared" si="9"/>
        <v>0.64197530864197538</v>
      </c>
      <c r="R39" s="5">
        <v>0.54999999999999993</v>
      </c>
      <c r="S39" s="5">
        <f t="shared" si="10"/>
        <v>0.13580246913580243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</row>
    <row r="40" spans="1:43" ht="45" customHeight="1" x14ac:dyDescent="0.9">
      <c r="A40" s="85" t="s">
        <v>47</v>
      </c>
      <c r="B40" s="86"/>
      <c r="C40" s="86"/>
      <c r="D40" s="5">
        <v>110</v>
      </c>
      <c r="E40" s="5">
        <v>16.5</v>
      </c>
      <c r="F40" s="5">
        <v>0.21175000000000002</v>
      </c>
      <c r="G40" s="5">
        <f t="shared" si="4"/>
        <v>0.19250000000000003</v>
      </c>
      <c r="H40" s="75">
        <v>7.282</v>
      </c>
      <c r="I40" s="75">
        <f t="shared" si="5"/>
        <v>6.6199999999999992</v>
      </c>
      <c r="J40" s="5">
        <v>1.3475000000000001</v>
      </c>
      <c r="K40" s="5">
        <f t="shared" si="6"/>
        <v>1.2250000000000001</v>
      </c>
      <c r="L40" s="5">
        <v>5.3900000000000006</v>
      </c>
      <c r="M40" s="5">
        <f t="shared" si="7"/>
        <v>4.9000000000000004</v>
      </c>
      <c r="N40" s="5">
        <v>1.4025000000000001</v>
      </c>
      <c r="O40" s="5">
        <f t="shared" si="8"/>
        <v>1.2750000000000001</v>
      </c>
      <c r="P40" s="5">
        <v>0.71499999999999997</v>
      </c>
      <c r="Q40" s="5">
        <f t="shared" si="9"/>
        <v>0.65</v>
      </c>
      <c r="R40" s="5">
        <v>0.15125</v>
      </c>
      <c r="S40" s="5">
        <f t="shared" si="10"/>
        <v>0.13749999999999998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</row>
    <row r="41" spans="1:43" ht="45" customHeight="1" x14ac:dyDescent="0.9">
      <c r="A41" s="85" t="s">
        <v>52</v>
      </c>
      <c r="B41" s="86"/>
      <c r="C41" s="86"/>
      <c r="D41" s="5">
        <v>0</v>
      </c>
      <c r="E41" s="5">
        <v>0</v>
      </c>
      <c r="F41" s="5">
        <v>0</v>
      </c>
      <c r="G41" s="5">
        <v>0</v>
      </c>
      <c r="H41" s="75">
        <v>0</v>
      </c>
      <c r="I41" s="7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</row>
    <row r="42" spans="1:43" ht="45" customHeight="1" x14ac:dyDescent="0.9">
      <c r="A42" s="85" t="s">
        <v>104</v>
      </c>
      <c r="B42" s="86"/>
      <c r="C42" s="86"/>
      <c r="D42" s="5">
        <v>1250</v>
      </c>
      <c r="E42" s="5">
        <v>187.5</v>
      </c>
      <c r="F42" s="5">
        <f>$D$42*G42/100</f>
        <v>2.40625</v>
      </c>
      <c r="G42" s="5">
        <v>0.1925</v>
      </c>
      <c r="H42" s="75">
        <v>0</v>
      </c>
      <c r="I42" s="75">
        <v>0</v>
      </c>
      <c r="J42" s="5">
        <f>$D$42*K42/100</f>
        <v>15.312499999999998</v>
      </c>
      <c r="K42" s="5">
        <v>1.2249999999999999</v>
      </c>
      <c r="L42" s="5">
        <v>24.5</v>
      </c>
      <c r="M42" s="5">
        <v>1.96</v>
      </c>
      <c r="N42" s="5">
        <f>$D$42*O42/100</f>
        <v>15.9375</v>
      </c>
      <c r="O42" s="5">
        <v>1.2749999999999999</v>
      </c>
      <c r="P42" s="5">
        <f>$D$42*Q42/100</f>
        <v>8.125</v>
      </c>
      <c r="Q42" s="5">
        <v>0.65</v>
      </c>
      <c r="R42" s="5">
        <f>$D$42*S42/100</f>
        <v>1.71875</v>
      </c>
      <c r="S42" s="5">
        <v>0.13750000000000001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86.4</v>
      </c>
      <c r="AA42" s="5">
        <v>6.9119999999999999</v>
      </c>
      <c r="AB42" s="5">
        <v>0</v>
      </c>
      <c r="AC42" s="5">
        <v>0</v>
      </c>
      <c r="AD42" s="5">
        <v>0</v>
      </c>
      <c r="AE42" s="5">
        <v>0</v>
      </c>
      <c r="AF42" s="5">
        <v>16.55</v>
      </c>
      <c r="AG42" s="5">
        <v>1.3240000000000001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16.55</v>
      </c>
      <c r="AQ42" s="5">
        <v>1.3240000000000001</v>
      </c>
    </row>
    <row r="43" spans="1:43" ht="62.25" customHeight="1" x14ac:dyDescent="0.9">
      <c r="A43" s="85" t="s">
        <v>100</v>
      </c>
      <c r="B43" s="86"/>
      <c r="C43" s="87"/>
      <c r="D43" s="57"/>
      <c r="E43" s="57">
        <f>SUM(E31:E42)</f>
        <v>505.75450000000001</v>
      </c>
      <c r="F43" s="57">
        <f>SUM(F31:F42)</f>
        <v>6.4905160833333335</v>
      </c>
      <c r="G43" s="57"/>
      <c r="H43" s="74">
        <f>SUM(H31:H42)</f>
        <v>96.059892304423556</v>
      </c>
      <c r="I43" s="74"/>
      <c r="J43" s="57">
        <f>SUM(J31:J42)</f>
        <v>41.303284166666664</v>
      </c>
      <c r="K43" s="57"/>
      <c r="L43" s="57">
        <f>SUM(L31:L42)</f>
        <v>128.46313666666666</v>
      </c>
      <c r="M43" s="57"/>
      <c r="N43" s="57">
        <f>SUM(N31:N42)</f>
        <v>42.989132500000004</v>
      </c>
      <c r="O43" s="57"/>
      <c r="P43" s="57">
        <f>SUM(P31:P42)</f>
        <v>21.91602833333333</v>
      </c>
      <c r="Q43" s="57"/>
      <c r="R43" s="57">
        <f>SUM(R31:R42)</f>
        <v>4.6360829166666662</v>
      </c>
      <c r="S43" s="57"/>
      <c r="T43" s="57">
        <f>SUM(T31:T42)</f>
        <v>0</v>
      </c>
      <c r="U43" s="57"/>
      <c r="V43" s="57">
        <f>SUM(V31:V42)</f>
        <v>0</v>
      </c>
      <c r="W43" s="57"/>
      <c r="X43" s="57">
        <f>SUM(X31:X42)</f>
        <v>0</v>
      </c>
      <c r="Y43" s="57"/>
      <c r="Z43" s="57">
        <f>SUM(Z31:Z42)</f>
        <v>86.4</v>
      </c>
      <c r="AA43" s="57"/>
      <c r="AB43" s="57">
        <f>SUM(AB31:AB42)</f>
        <v>0</v>
      </c>
      <c r="AC43" s="57"/>
      <c r="AD43" s="57">
        <f>SUM(AD31:AD42)</f>
        <v>0</v>
      </c>
      <c r="AE43" s="57"/>
      <c r="AF43" s="57">
        <f>SUM(AF31:AF42)</f>
        <v>60.946427028909795</v>
      </c>
      <c r="AG43" s="57"/>
      <c r="AH43" s="57">
        <f>SUM(AH31:AH42)</f>
        <v>0</v>
      </c>
      <c r="AI43" s="57"/>
      <c r="AJ43" s="57">
        <f>SUM(AJ31:AJ42)</f>
        <v>0</v>
      </c>
      <c r="AK43" s="57"/>
      <c r="AL43" s="57">
        <f>SUM(AL31:AL42)</f>
        <v>0</v>
      </c>
      <c r="AM43" s="57"/>
      <c r="AN43" s="57">
        <f>SUM(AN31:AN42)</f>
        <v>0</v>
      </c>
      <c r="AO43" s="57"/>
      <c r="AP43" s="57">
        <f>SUM(AP31:AP42)</f>
        <v>16.55</v>
      </c>
      <c r="AQ43" s="57"/>
    </row>
    <row r="44" spans="1:43" ht="98.25" customHeight="1" x14ac:dyDescent="0.25">
      <c r="A44" s="105" t="s">
        <v>109</v>
      </c>
      <c r="B44" s="86"/>
      <c r="C44" s="87"/>
      <c r="D44" s="59"/>
      <c r="E44" s="59"/>
      <c r="F44" s="59"/>
      <c r="G44" s="59"/>
      <c r="H44" s="76"/>
      <c r="I44" s="76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</row>
    <row r="45" spans="1:43" ht="113.25" customHeight="1" x14ac:dyDescent="0.25">
      <c r="A45" s="106" t="s">
        <v>106</v>
      </c>
      <c r="B45" s="86"/>
      <c r="C45" s="87"/>
      <c r="D45" s="60"/>
      <c r="E45" s="60">
        <v>5</v>
      </c>
      <c r="F45" s="60"/>
      <c r="G45" s="60"/>
      <c r="H45" s="77">
        <v>5</v>
      </c>
      <c r="I45" s="77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</row>
    <row r="46" spans="1:43" ht="102" customHeight="1" x14ac:dyDescent="0.25">
      <c r="A46" s="106" t="s">
        <v>107</v>
      </c>
      <c r="B46" s="86"/>
      <c r="C46" s="87"/>
      <c r="D46" s="60"/>
      <c r="E46" s="60">
        <v>161</v>
      </c>
      <c r="F46" s="60">
        <v>6.6539999999999999</v>
      </c>
      <c r="G46" s="60"/>
      <c r="H46" s="77">
        <v>134.33000000000001</v>
      </c>
      <c r="I46" s="77"/>
      <c r="J46" s="60"/>
      <c r="K46" s="60"/>
      <c r="L46" s="60"/>
      <c r="M46" s="60"/>
      <c r="N46" s="60">
        <v>4.88</v>
      </c>
      <c r="O46" s="60"/>
      <c r="P46" s="60">
        <v>14.7</v>
      </c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</row>
    <row r="47" spans="1:43" ht="51.75" customHeight="1" x14ac:dyDescent="0.9">
      <c r="A47" s="85" t="s">
        <v>105</v>
      </c>
      <c r="B47" s="86"/>
      <c r="C47" s="87"/>
      <c r="D47" s="57"/>
      <c r="E47" s="57"/>
      <c r="F47" s="57"/>
      <c r="G47" s="57"/>
      <c r="H47" s="74"/>
      <c r="I47" s="74"/>
      <c r="J47" s="57"/>
      <c r="K47" s="57"/>
      <c r="L47" s="57"/>
      <c r="M47" s="57"/>
      <c r="N47" s="57"/>
      <c r="O47" s="57"/>
      <c r="P47" s="57"/>
      <c r="Q47" s="57"/>
      <c r="R47" s="57">
        <v>50.45</v>
      </c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</row>
    <row r="48" spans="1:43" ht="89.25" customHeight="1" x14ac:dyDescent="0.9">
      <c r="A48" s="85" t="s">
        <v>90</v>
      </c>
      <c r="B48" s="86"/>
      <c r="C48" s="87"/>
      <c r="D48" s="57"/>
      <c r="E48" s="57">
        <v>21.61</v>
      </c>
      <c r="F48" s="57"/>
      <c r="G48" s="57"/>
      <c r="H48" s="74">
        <v>21.61</v>
      </c>
      <c r="I48" s="74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</row>
    <row r="49" spans="1:43" ht="89.25" customHeight="1" x14ac:dyDescent="0.9">
      <c r="A49" s="85" t="s">
        <v>108</v>
      </c>
      <c r="B49" s="86"/>
      <c r="C49" s="87"/>
      <c r="D49" s="57"/>
      <c r="E49" s="57">
        <f t="shared" ref="E49:AO49" si="11">SUM(E45:E48)</f>
        <v>187.61</v>
      </c>
      <c r="F49" s="57">
        <f t="shared" si="11"/>
        <v>6.6539999999999999</v>
      </c>
      <c r="G49" s="57">
        <f t="shared" si="11"/>
        <v>0</v>
      </c>
      <c r="H49" s="74">
        <f t="shared" si="11"/>
        <v>160.94</v>
      </c>
      <c r="I49" s="74">
        <f t="shared" si="11"/>
        <v>0</v>
      </c>
      <c r="J49" s="57">
        <f t="shared" si="11"/>
        <v>0</v>
      </c>
      <c r="K49" s="57">
        <f t="shared" si="11"/>
        <v>0</v>
      </c>
      <c r="L49" s="57">
        <f t="shared" si="11"/>
        <v>0</v>
      </c>
      <c r="M49" s="57">
        <f t="shared" si="11"/>
        <v>0</v>
      </c>
      <c r="N49" s="57">
        <f t="shared" si="11"/>
        <v>4.88</v>
      </c>
      <c r="O49" s="57">
        <f t="shared" si="11"/>
        <v>0</v>
      </c>
      <c r="P49" s="57">
        <f t="shared" si="11"/>
        <v>14.7</v>
      </c>
      <c r="Q49" s="57">
        <f t="shared" si="11"/>
        <v>0</v>
      </c>
      <c r="R49" s="57">
        <f t="shared" si="11"/>
        <v>50.45</v>
      </c>
      <c r="S49" s="57">
        <f t="shared" si="11"/>
        <v>0</v>
      </c>
      <c r="T49" s="57">
        <f t="shared" si="11"/>
        <v>0</v>
      </c>
      <c r="U49" s="57">
        <f t="shared" si="11"/>
        <v>0</v>
      </c>
      <c r="V49" s="57">
        <f t="shared" si="11"/>
        <v>0</v>
      </c>
      <c r="W49" s="57">
        <f t="shared" si="11"/>
        <v>0</v>
      </c>
      <c r="X49" s="57">
        <f t="shared" si="11"/>
        <v>0</v>
      </c>
      <c r="Y49" s="57">
        <f t="shared" si="11"/>
        <v>0</v>
      </c>
      <c r="Z49" s="57">
        <f t="shared" si="11"/>
        <v>0</v>
      </c>
      <c r="AA49" s="57">
        <f t="shared" si="11"/>
        <v>0</v>
      </c>
      <c r="AB49" s="57">
        <f t="shared" si="11"/>
        <v>0</v>
      </c>
      <c r="AC49" s="57">
        <f t="shared" si="11"/>
        <v>0</v>
      </c>
      <c r="AD49" s="57">
        <f t="shared" si="11"/>
        <v>0</v>
      </c>
      <c r="AE49" s="57">
        <f t="shared" si="11"/>
        <v>0</v>
      </c>
      <c r="AF49" s="57">
        <f t="shared" si="11"/>
        <v>0</v>
      </c>
      <c r="AG49" s="57">
        <f t="shared" si="11"/>
        <v>0</v>
      </c>
      <c r="AH49" s="57">
        <f t="shared" si="11"/>
        <v>0</v>
      </c>
      <c r="AI49" s="57">
        <f t="shared" si="11"/>
        <v>0</v>
      </c>
      <c r="AJ49" s="57">
        <f t="shared" si="11"/>
        <v>0</v>
      </c>
      <c r="AK49" s="57">
        <f t="shared" si="11"/>
        <v>0</v>
      </c>
      <c r="AL49" s="57">
        <f t="shared" si="11"/>
        <v>0</v>
      </c>
      <c r="AM49" s="57">
        <f t="shared" si="11"/>
        <v>0</v>
      </c>
      <c r="AN49" s="57">
        <f t="shared" si="11"/>
        <v>0</v>
      </c>
      <c r="AO49" s="57">
        <f t="shared" si="11"/>
        <v>0</v>
      </c>
      <c r="AP49" s="57">
        <f t="shared" ref="AP49:AQ49" si="12">SUM(AP45:AP48)</f>
        <v>0</v>
      </c>
      <c r="AQ49" s="57">
        <f t="shared" si="12"/>
        <v>0</v>
      </c>
    </row>
    <row r="50" spans="1:43" ht="107.25" customHeight="1" x14ac:dyDescent="0.25">
      <c r="A50" s="105" t="s">
        <v>101</v>
      </c>
      <c r="B50" s="86"/>
      <c r="C50" s="87"/>
      <c r="D50" s="60"/>
      <c r="E50" s="60">
        <f>E49+E43</f>
        <v>693.36450000000002</v>
      </c>
      <c r="F50" s="60">
        <f>SUM(F31:F41)+F49</f>
        <v>10.738266083333333</v>
      </c>
      <c r="G50" s="60"/>
      <c r="H50" s="77">
        <f>H49+H43</f>
        <v>256.99989230442355</v>
      </c>
      <c r="I50" s="77"/>
      <c r="J50" s="60">
        <f>J49+J43</f>
        <v>41.303284166666664</v>
      </c>
      <c r="K50" s="60"/>
      <c r="L50" s="60">
        <f>L49+L43</f>
        <v>128.46313666666666</v>
      </c>
      <c r="M50" s="60"/>
      <c r="N50" s="60">
        <f>N49+N43</f>
        <v>47.869132500000006</v>
      </c>
      <c r="O50" s="60"/>
      <c r="P50" s="60">
        <f>P49+P43</f>
        <v>36.616028333333333</v>
      </c>
      <c r="Q50" s="60"/>
      <c r="R50" s="60">
        <f>R49+R43</f>
        <v>55.086082916666669</v>
      </c>
      <c r="S50" s="60"/>
      <c r="T50" s="60">
        <f>T49+T43</f>
        <v>0</v>
      </c>
      <c r="U50" s="60"/>
      <c r="V50" s="60">
        <f>V49+V43</f>
        <v>0</v>
      </c>
      <c r="W50" s="60"/>
      <c r="X50" s="60">
        <f>X49+X43</f>
        <v>0</v>
      </c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</row>
    <row r="51" spans="1:43" ht="89.25" customHeight="1" x14ac:dyDescent="0.25">
      <c r="A51" s="105" t="s">
        <v>55</v>
      </c>
      <c r="B51" s="86"/>
      <c r="C51" s="87"/>
      <c r="D51" s="60"/>
      <c r="E51" s="60">
        <f>E50+E29</f>
        <v>5516.9679999999998</v>
      </c>
      <c r="F51" s="60">
        <f>F50+F29</f>
        <v>472.00788407333334</v>
      </c>
      <c r="G51" s="60"/>
      <c r="H51" s="77">
        <f>H50+H29</f>
        <v>1677.5739128566668</v>
      </c>
      <c r="I51" s="77"/>
      <c r="J51" s="60">
        <f>J50+J29</f>
        <v>290.72053557666669</v>
      </c>
      <c r="K51" s="60"/>
      <c r="L51" s="60">
        <f>L50+L29</f>
        <v>417.1194420766667</v>
      </c>
      <c r="M51" s="60"/>
      <c r="N51" s="60">
        <f>N50+N29</f>
        <v>255.48381450000002</v>
      </c>
      <c r="O51" s="60"/>
      <c r="P51" s="60">
        <f>P50+P29</f>
        <v>227.81032692333335</v>
      </c>
      <c r="Q51" s="60"/>
      <c r="R51" s="60">
        <f>R50+R29</f>
        <v>605.24866732666658</v>
      </c>
      <c r="S51" s="60"/>
      <c r="T51" s="60">
        <f>T50+T29</f>
        <v>1.5</v>
      </c>
      <c r="U51" s="60"/>
      <c r="V51" s="60">
        <f>V50+V29</f>
        <v>39.872312500000007</v>
      </c>
      <c r="W51" s="60"/>
      <c r="X51" s="60">
        <f>X50+X29</f>
        <v>168.729625</v>
      </c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>
        <f>AN50+AN29</f>
        <v>109.89231249999999</v>
      </c>
      <c r="AO51" s="60"/>
      <c r="AP51" s="60">
        <f>AP50+AP29</f>
        <v>38.998500000000007</v>
      </c>
      <c r="AQ51" s="60"/>
    </row>
    <row r="52" spans="1:43" ht="97.5" customHeight="1" x14ac:dyDescent="0.25">
      <c r="A52" s="105" t="s">
        <v>54</v>
      </c>
      <c r="B52" s="86"/>
      <c r="C52" s="87"/>
      <c r="D52" s="57"/>
      <c r="E52" s="57"/>
      <c r="F52" s="57"/>
      <c r="G52" s="57"/>
      <c r="H52" s="71"/>
      <c r="I52" s="71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</row>
    <row r="53" spans="1:43" ht="65.25" customHeight="1" x14ac:dyDescent="0.25">
      <c r="A53" s="105" t="s">
        <v>56</v>
      </c>
      <c r="B53" s="86"/>
      <c r="C53" s="87"/>
      <c r="D53" s="57"/>
      <c r="E53" s="60">
        <f t="shared" ref="E53:AO53" si="13">E51</f>
        <v>5516.9679999999998</v>
      </c>
      <c r="F53" s="60">
        <f t="shared" si="13"/>
        <v>472.00788407333334</v>
      </c>
      <c r="G53" s="60">
        <f t="shared" si="13"/>
        <v>0</v>
      </c>
      <c r="H53" s="77">
        <f t="shared" si="13"/>
        <v>1677.5739128566668</v>
      </c>
      <c r="I53" s="77">
        <f t="shared" si="13"/>
        <v>0</v>
      </c>
      <c r="J53" s="60">
        <f t="shared" si="13"/>
        <v>290.72053557666669</v>
      </c>
      <c r="K53" s="60">
        <f t="shared" si="13"/>
        <v>0</v>
      </c>
      <c r="L53" s="60">
        <f t="shared" si="13"/>
        <v>417.1194420766667</v>
      </c>
      <c r="M53" s="60">
        <f t="shared" si="13"/>
        <v>0</v>
      </c>
      <c r="N53" s="60">
        <f t="shared" si="13"/>
        <v>255.48381450000002</v>
      </c>
      <c r="O53" s="60">
        <f t="shared" si="13"/>
        <v>0</v>
      </c>
      <c r="P53" s="60">
        <f t="shared" si="13"/>
        <v>227.81032692333335</v>
      </c>
      <c r="Q53" s="60">
        <f t="shared" si="13"/>
        <v>0</v>
      </c>
      <c r="R53" s="60">
        <f t="shared" si="13"/>
        <v>605.24866732666658</v>
      </c>
      <c r="S53" s="60">
        <f t="shared" si="13"/>
        <v>0</v>
      </c>
      <c r="T53" s="60">
        <f t="shared" si="13"/>
        <v>1.5</v>
      </c>
      <c r="U53" s="60">
        <f t="shared" si="13"/>
        <v>0</v>
      </c>
      <c r="V53" s="60">
        <f t="shared" si="13"/>
        <v>39.872312500000007</v>
      </c>
      <c r="W53" s="60">
        <f t="shared" si="13"/>
        <v>0</v>
      </c>
      <c r="X53" s="60">
        <f t="shared" si="13"/>
        <v>168.729625</v>
      </c>
      <c r="Y53" s="60">
        <f t="shared" si="13"/>
        <v>0</v>
      </c>
      <c r="Z53" s="60">
        <f t="shared" si="13"/>
        <v>0</v>
      </c>
      <c r="AA53" s="60">
        <f t="shared" si="13"/>
        <v>0</v>
      </c>
      <c r="AB53" s="60">
        <f t="shared" si="13"/>
        <v>0</v>
      </c>
      <c r="AC53" s="60">
        <f t="shared" si="13"/>
        <v>0</v>
      </c>
      <c r="AD53" s="60">
        <f t="shared" si="13"/>
        <v>0</v>
      </c>
      <c r="AE53" s="60">
        <f t="shared" si="13"/>
        <v>0</v>
      </c>
      <c r="AF53" s="60">
        <f t="shared" si="13"/>
        <v>0</v>
      </c>
      <c r="AG53" s="60">
        <f t="shared" si="13"/>
        <v>0</v>
      </c>
      <c r="AH53" s="60">
        <f t="shared" si="13"/>
        <v>0</v>
      </c>
      <c r="AI53" s="60">
        <f t="shared" si="13"/>
        <v>0</v>
      </c>
      <c r="AJ53" s="60">
        <f t="shared" si="13"/>
        <v>0</v>
      </c>
      <c r="AK53" s="60">
        <f t="shared" si="13"/>
        <v>0</v>
      </c>
      <c r="AL53" s="60">
        <f t="shared" si="13"/>
        <v>0</v>
      </c>
      <c r="AM53" s="60">
        <f t="shared" si="13"/>
        <v>0</v>
      </c>
      <c r="AN53" s="60">
        <f t="shared" si="13"/>
        <v>109.89231249999999</v>
      </c>
      <c r="AO53" s="60">
        <f t="shared" si="13"/>
        <v>0</v>
      </c>
      <c r="AP53" s="60">
        <f t="shared" ref="AP53:AQ53" si="14">AP51</f>
        <v>38.998500000000007</v>
      </c>
      <c r="AQ53" s="60">
        <f t="shared" si="14"/>
        <v>0</v>
      </c>
    </row>
    <row r="54" spans="1:43" ht="18.75" customHeight="1" x14ac:dyDescent="0.25"/>
    <row r="55" spans="1:43" ht="18.75" customHeight="1" x14ac:dyDescent="0.3">
      <c r="A55" s="61" t="s">
        <v>103</v>
      </c>
    </row>
    <row r="56" spans="1:43" ht="18.75" customHeight="1" x14ac:dyDescent="0.25"/>
    <row r="57" spans="1:43" ht="18.75" customHeight="1" x14ac:dyDescent="0.25"/>
    <row r="58" spans="1:43" ht="18.75" customHeight="1" x14ac:dyDescent="0.25"/>
    <row r="59" spans="1:43" ht="18.75" customHeight="1" x14ac:dyDescent="0.25"/>
    <row r="60" spans="1:43" ht="18.75" customHeight="1" x14ac:dyDescent="0.25"/>
    <row r="61" spans="1:43" ht="18.75" customHeight="1" x14ac:dyDescent="0.25"/>
    <row r="62" spans="1:43" ht="18.75" customHeight="1" x14ac:dyDescent="0.25"/>
    <row r="63" spans="1:43" ht="18.75" customHeight="1" x14ac:dyDescent="0.25"/>
    <row r="64" spans="1:43" ht="18.75" customHeight="1" x14ac:dyDescent="0.3">
      <c r="A64" s="6"/>
    </row>
    <row r="65" spans="1:1" ht="18.75" customHeight="1" x14ac:dyDescent="0.3">
      <c r="A65" s="6"/>
    </row>
    <row r="66" spans="1:1" ht="18.75" customHeight="1" x14ac:dyDescent="0.3">
      <c r="A66" s="6"/>
    </row>
    <row r="67" spans="1:1" ht="18.75" customHeight="1" x14ac:dyDescent="0.3">
      <c r="A67" s="6"/>
    </row>
    <row r="68" spans="1:1" ht="18.75" customHeight="1" x14ac:dyDescent="0.3">
      <c r="A68" s="6"/>
    </row>
    <row r="69" spans="1:1" ht="18.75" customHeight="1" x14ac:dyDescent="0.3">
      <c r="A69" s="6"/>
    </row>
    <row r="70" spans="1:1" ht="18.75" customHeight="1" x14ac:dyDescent="0.3">
      <c r="A70" s="6"/>
    </row>
    <row r="71" spans="1:1" ht="18.75" customHeight="1" x14ac:dyDescent="0.3">
      <c r="A71" s="6"/>
    </row>
    <row r="72" spans="1:1" ht="18.75" customHeight="1" x14ac:dyDescent="0.3">
      <c r="A72" s="6"/>
    </row>
    <row r="73" spans="1:1" ht="18.75" customHeight="1" x14ac:dyDescent="0.3">
      <c r="A73" s="6"/>
    </row>
    <row r="74" spans="1:1" ht="18.75" customHeight="1" x14ac:dyDescent="0.3">
      <c r="A74" s="6"/>
    </row>
    <row r="75" spans="1:1" ht="18.75" customHeight="1" x14ac:dyDescent="0.3">
      <c r="A75" s="6"/>
    </row>
    <row r="76" spans="1:1" ht="18.75" customHeight="1" x14ac:dyDescent="0.3">
      <c r="A76" s="6"/>
    </row>
    <row r="77" spans="1:1" ht="18.75" customHeight="1" x14ac:dyDescent="0.3">
      <c r="A77" s="6"/>
    </row>
    <row r="78" spans="1:1" ht="18.75" customHeight="1" x14ac:dyDescent="0.3">
      <c r="A78" s="6"/>
    </row>
    <row r="79" spans="1:1" ht="18.75" customHeight="1" x14ac:dyDescent="0.3">
      <c r="A79" s="6"/>
    </row>
    <row r="80" spans="1:1" ht="18.75" customHeight="1" x14ac:dyDescent="0.3">
      <c r="A80" s="6"/>
    </row>
    <row r="81" spans="1:1" ht="18.75" customHeight="1" x14ac:dyDescent="0.3">
      <c r="A81" s="6"/>
    </row>
    <row r="82" spans="1:1" ht="18.75" customHeight="1" x14ac:dyDescent="0.3">
      <c r="A82" s="6"/>
    </row>
    <row r="83" spans="1:1" ht="18.75" customHeight="1" x14ac:dyDescent="0.3">
      <c r="A83" s="6"/>
    </row>
    <row r="84" spans="1:1" ht="18.75" customHeight="1" x14ac:dyDescent="0.3">
      <c r="A84" s="6"/>
    </row>
    <row r="85" spans="1:1" ht="18.75" customHeight="1" x14ac:dyDescent="0.3">
      <c r="A85" s="6"/>
    </row>
    <row r="86" spans="1:1" ht="18.75" customHeight="1" x14ac:dyDescent="0.3">
      <c r="A86" s="6"/>
    </row>
    <row r="87" spans="1:1" ht="18.75" customHeight="1" x14ac:dyDescent="0.3">
      <c r="A87" s="6"/>
    </row>
    <row r="88" spans="1:1" ht="18.75" customHeight="1" x14ac:dyDescent="0.3">
      <c r="A88" s="6"/>
    </row>
    <row r="89" spans="1:1" ht="18.75" customHeight="1" x14ac:dyDescent="0.3">
      <c r="A89" s="6"/>
    </row>
    <row r="90" spans="1:1" ht="18.75" customHeight="1" x14ac:dyDescent="0.3">
      <c r="A90" s="6"/>
    </row>
    <row r="91" spans="1:1" ht="18.75" customHeight="1" x14ac:dyDescent="0.3">
      <c r="A91" s="6"/>
    </row>
    <row r="92" spans="1:1" ht="18.75" customHeight="1" x14ac:dyDescent="0.3">
      <c r="A92" s="6"/>
    </row>
    <row r="93" spans="1:1" ht="18.75" customHeight="1" x14ac:dyDescent="0.3">
      <c r="A93" s="6"/>
    </row>
    <row r="94" spans="1:1" ht="18.75" customHeight="1" x14ac:dyDescent="0.3">
      <c r="A94" s="6"/>
    </row>
    <row r="95" spans="1:1" ht="18.75" customHeight="1" x14ac:dyDescent="0.3">
      <c r="A95" s="6"/>
    </row>
    <row r="96" spans="1:1" ht="18.75" customHeight="1" x14ac:dyDescent="0.3">
      <c r="A96" s="6"/>
    </row>
    <row r="97" spans="1:1" ht="18.75" customHeight="1" x14ac:dyDescent="0.3">
      <c r="A97" s="6"/>
    </row>
    <row r="98" spans="1:1" ht="18.75" customHeight="1" x14ac:dyDescent="0.3">
      <c r="A98" s="6"/>
    </row>
    <row r="99" spans="1:1" ht="18.75" customHeight="1" x14ac:dyDescent="0.3">
      <c r="A99" s="6"/>
    </row>
    <row r="100" spans="1:1" ht="18.75" customHeight="1" x14ac:dyDescent="0.3">
      <c r="A100" s="6"/>
    </row>
    <row r="101" spans="1:1" ht="18.75" customHeight="1" x14ac:dyDescent="0.3">
      <c r="A101" s="6"/>
    </row>
  </sheetData>
  <mergeCells count="74">
    <mergeCell ref="A38:C38"/>
    <mergeCell ref="A25:C25"/>
    <mergeCell ref="A53:C53"/>
    <mergeCell ref="A15:C15"/>
    <mergeCell ref="A30:C30"/>
    <mergeCell ref="A29:C29"/>
    <mergeCell ref="A16:C16"/>
    <mergeCell ref="A17:C17"/>
    <mergeCell ref="A18:C18"/>
    <mergeCell ref="A46:C46"/>
    <mergeCell ref="A32:C32"/>
    <mergeCell ref="A33:C33"/>
    <mergeCell ref="A34:C34"/>
    <mergeCell ref="A35:C35"/>
    <mergeCell ref="A21:C21"/>
    <mergeCell ref="A40:C40"/>
    <mergeCell ref="A39:C39"/>
    <mergeCell ref="A52:C52"/>
    <mergeCell ref="A51:C51"/>
    <mergeCell ref="A41:C41"/>
    <mergeCell ref="A50:C50"/>
    <mergeCell ref="A44:C44"/>
    <mergeCell ref="A45:C45"/>
    <mergeCell ref="A49:C49"/>
    <mergeCell ref="A48:C48"/>
    <mergeCell ref="A47:C47"/>
    <mergeCell ref="A1:AO1"/>
    <mergeCell ref="V2:AO2"/>
    <mergeCell ref="A10:C10"/>
    <mergeCell ref="V3:W3"/>
    <mergeCell ref="X3:Y3"/>
    <mergeCell ref="AN3:AO3"/>
    <mergeCell ref="A6:C6"/>
    <mergeCell ref="A2:C3"/>
    <mergeCell ref="D2:D3"/>
    <mergeCell ref="Z3:AA3"/>
    <mergeCell ref="AB3:AC3"/>
    <mergeCell ref="AD3:AE3"/>
    <mergeCell ref="AF3:AG3"/>
    <mergeCell ref="AH3:AI3"/>
    <mergeCell ref="J3:K3"/>
    <mergeCell ref="L3:M3"/>
    <mergeCell ref="A43:C43"/>
    <mergeCell ref="A11:C11"/>
    <mergeCell ref="F3:G3"/>
    <mergeCell ref="H3:I3"/>
    <mergeCell ref="A7:C7"/>
    <mergeCell ref="A8:C8"/>
    <mergeCell ref="A9:C9"/>
    <mergeCell ref="E2:E3"/>
    <mergeCell ref="F2:U2"/>
    <mergeCell ref="N3:O3"/>
    <mergeCell ref="P3:Q3"/>
    <mergeCell ref="R3:S3"/>
    <mergeCell ref="T3:U3"/>
    <mergeCell ref="A4:C4"/>
    <mergeCell ref="A5:C5"/>
    <mergeCell ref="A12:C12"/>
    <mergeCell ref="AP3:AQ3"/>
    <mergeCell ref="AJ3:AK3"/>
    <mergeCell ref="AL3:AM3"/>
    <mergeCell ref="A28:C28"/>
    <mergeCell ref="A42:C42"/>
    <mergeCell ref="A13:C13"/>
    <mergeCell ref="A14:C14"/>
    <mergeCell ref="A37:C37"/>
    <mergeCell ref="A31:C31"/>
    <mergeCell ref="A36:C36"/>
    <mergeCell ref="A22:C22"/>
    <mergeCell ref="A26:C26"/>
    <mergeCell ref="A23:C23"/>
    <mergeCell ref="A24:C24"/>
    <mergeCell ref="A27:C27"/>
    <mergeCell ref="A20:C20"/>
  </mergeCells>
  <pageMargins left="0.70866141732283472" right="0.70866141732283472" top="0.74803149606299213" bottom="0.74803149606299213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3"/>
  <sheetViews>
    <sheetView tabSelected="1" zoomScale="65" zoomScaleNormal="65" workbookViewId="0">
      <selection activeCell="J36" sqref="J36"/>
    </sheetView>
  </sheetViews>
  <sheetFormatPr defaultColWidth="9.28515625" defaultRowHeight="15" x14ac:dyDescent="0.2"/>
  <cols>
    <col min="1" max="1" width="56.7109375" style="20" bestFit="1" customWidth="1"/>
    <col min="2" max="2" width="16.140625" style="20" bestFit="1" customWidth="1"/>
    <col min="3" max="3" width="15.140625" style="20" bestFit="1" customWidth="1"/>
    <col min="4" max="4" width="16.5703125" style="20" bestFit="1" customWidth="1"/>
    <col min="5" max="5" width="15.140625" style="20" bestFit="1" customWidth="1"/>
    <col min="6" max="7" width="16.140625" style="20" bestFit="1" customWidth="1"/>
    <col min="8" max="8" width="16.5703125" style="20" bestFit="1" customWidth="1"/>
    <col min="9" max="9" width="15.140625" style="20" bestFit="1" customWidth="1"/>
    <col min="10" max="10" width="16.5703125" style="20" bestFit="1" customWidth="1"/>
    <col min="11" max="11" width="15.7109375" style="20" bestFit="1" customWidth="1"/>
    <col min="12" max="12" width="18" style="20" bestFit="1" customWidth="1"/>
    <col min="13" max="13" width="16.5703125" style="20" bestFit="1" customWidth="1"/>
    <col min="14" max="14" width="13.7109375" style="20" bestFit="1" customWidth="1"/>
    <col min="15" max="15" width="11.5703125" style="20" customWidth="1"/>
    <col min="16" max="16" width="5.28515625" style="20" customWidth="1"/>
    <col min="17" max="17" width="54" style="20" bestFit="1" customWidth="1"/>
    <col min="18" max="18" width="22.7109375" style="20" customWidth="1"/>
    <col min="19" max="19" width="12.7109375" style="20" bestFit="1" customWidth="1"/>
    <col min="20" max="20" width="4.5703125" style="20" bestFit="1" customWidth="1"/>
    <col min="21" max="16384" width="9.28515625" style="20"/>
  </cols>
  <sheetData>
    <row r="1" spans="1:20" s="17" customFormat="1" ht="99.75" x14ac:dyDescent="0.2">
      <c r="A1" s="8" t="s">
        <v>57</v>
      </c>
      <c r="B1" s="9" t="s">
        <v>58</v>
      </c>
      <c r="C1" s="9" t="s">
        <v>59</v>
      </c>
      <c r="D1" s="9" t="s">
        <v>60</v>
      </c>
      <c r="E1" s="9" t="s">
        <v>61</v>
      </c>
      <c r="F1" s="9" t="s">
        <v>62</v>
      </c>
      <c r="G1" s="9" t="s">
        <v>63</v>
      </c>
      <c r="H1" s="9" t="s">
        <v>64</v>
      </c>
      <c r="I1" s="9" t="s">
        <v>65</v>
      </c>
      <c r="J1" s="9" t="s">
        <v>66</v>
      </c>
      <c r="K1" s="9" t="s">
        <v>46</v>
      </c>
      <c r="L1" s="9" t="s">
        <v>92</v>
      </c>
      <c r="M1" s="9" t="s">
        <v>45</v>
      </c>
      <c r="P1" s="18"/>
      <c r="Q1" s="109" t="s">
        <v>67</v>
      </c>
      <c r="R1" s="109"/>
      <c r="S1" s="109"/>
      <c r="T1" s="109"/>
    </row>
    <row r="2" spans="1:20" s="17" customFormat="1" ht="15.75" x14ac:dyDescent="0.25">
      <c r="A2" s="10" t="s">
        <v>68</v>
      </c>
      <c r="B2" s="40">
        <v>105</v>
      </c>
      <c r="C2" s="40">
        <v>46</v>
      </c>
      <c r="D2" s="40">
        <v>200</v>
      </c>
      <c r="E2" s="40">
        <v>23</v>
      </c>
      <c r="F2" s="40">
        <v>291</v>
      </c>
      <c r="G2" s="40">
        <v>130</v>
      </c>
      <c r="H2" s="40">
        <v>750</v>
      </c>
      <c r="I2" s="40">
        <v>75</v>
      </c>
      <c r="J2" s="40">
        <v>405</v>
      </c>
      <c r="K2" s="40">
        <v>110</v>
      </c>
      <c r="L2" s="40">
        <v>1250</v>
      </c>
      <c r="M2" s="41"/>
      <c r="P2" s="18"/>
      <c r="Q2" s="110" t="s">
        <v>69</v>
      </c>
      <c r="R2" s="110"/>
      <c r="S2" s="110"/>
      <c r="T2" s="110"/>
    </row>
    <row r="3" spans="1:20" s="17" customFormat="1" ht="15.75" x14ac:dyDescent="0.25">
      <c r="A3" s="8" t="s">
        <v>70</v>
      </c>
      <c r="B3" s="40">
        <f>B4*100/B2</f>
        <v>14.29</v>
      </c>
      <c r="C3" s="40">
        <f t="shared" ref="C3:K3" si="0">C4*100/C2</f>
        <v>15</v>
      </c>
      <c r="D3" s="40">
        <f t="shared" si="0"/>
        <v>15</v>
      </c>
      <c r="E3" s="40">
        <f t="shared" si="0"/>
        <v>15</v>
      </c>
      <c r="F3" s="40">
        <f t="shared" si="0"/>
        <v>15.12027491408935</v>
      </c>
      <c r="G3" s="40">
        <f t="shared" si="0"/>
        <v>14.538461538461537</v>
      </c>
      <c r="H3" s="40">
        <f t="shared" si="0"/>
        <v>15</v>
      </c>
      <c r="I3" s="40">
        <f t="shared" si="0"/>
        <v>14.66666666666667</v>
      </c>
      <c r="J3" s="40">
        <f t="shared" si="0"/>
        <v>14.814814814814815</v>
      </c>
      <c r="K3" s="40">
        <f t="shared" si="0"/>
        <v>15.000000000000004</v>
      </c>
      <c r="L3" s="40">
        <f>L4*100/L2</f>
        <v>15</v>
      </c>
      <c r="M3" s="41"/>
      <c r="P3" s="18"/>
      <c r="Q3" s="19"/>
      <c r="R3" s="19"/>
      <c r="S3" s="19"/>
      <c r="T3" s="19"/>
    </row>
    <row r="4" spans="1:20" ht="15.75" x14ac:dyDescent="0.25">
      <c r="A4" s="11" t="s">
        <v>71</v>
      </c>
      <c r="B4" s="42">
        <f>[1]FIRM_UA_ENTITLEMENT!C27</f>
        <v>15.004499999999998</v>
      </c>
      <c r="C4" s="42">
        <f>C2*0.15</f>
        <v>6.8999999999999995</v>
      </c>
      <c r="D4" s="42">
        <f>[1]FIRM_UA_ENTITLEMENT!E27</f>
        <v>30</v>
      </c>
      <c r="E4" s="42">
        <f>E2*0.15</f>
        <v>3.4499999999999997</v>
      </c>
      <c r="F4" s="42">
        <f>[1]FIRM_UA_ENTITLEMENT!G27</f>
        <v>44.000000000000007</v>
      </c>
      <c r="G4" s="42">
        <f>[1]FIRM_UA_ENTITLEMENT!H27</f>
        <v>18.899999999999999</v>
      </c>
      <c r="H4" s="42">
        <f>[1]FIRM_UA_ENTITLEMENT!I27</f>
        <v>112.5</v>
      </c>
      <c r="I4" s="42">
        <f>[1]FIRM_UA_ENTITLEMENT!J27</f>
        <v>11.000000000000002</v>
      </c>
      <c r="J4" s="42">
        <f>[1]FIRM_UA_ENTITLEMENT!K27</f>
        <v>60</v>
      </c>
      <c r="K4" s="42">
        <f>[1]FIRM_UA_ENTITLEMENT!L27</f>
        <v>16.500000000000004</v>
      </c>
      <c r="L4" s="42">
        <v>187.5</v>
      </c>
      <c r="M4" s="42">
        <f>SUM(B4:L4)</f>
        <v>505.75450000000001</v>
      </c>
      <c r="P4" s="18"/>
      <c r="Q4" s="18"/>
      <c r="R4" s="18"/>
      <c r="S4" s="18"/>
      <c r="T4" s="18"/>
    </row>
    <row r="5" spans="1:20" ht="15.75" x14ac:dyDescent="0.25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P5" s="18"/>
      <c r="Q5" s="18"/>
      <c r="R5" s="21"/>
      <c r="S5" s="18"/>
      <c r="T5" s="18"/>
    </row>
    <row r="6" spans="1:20" ht="15.75" x14ac:dyDescent="0.2">
      <c r="A6" s="13" t="s">
        <v>72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P6" s="18"/>
      <c r="Q6" s="18"/>
      <c r="R6" s="18"/>
      <c r="S6" s="18"/>
      <c r="T6" s="18"/>
    </row>
    <row r="7" spans="1:20" x14ac:dyDescent="0.2">
      <c r="A7" s="15" t="s">
        <v>73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P7" s="18"/>
      <c r="Q7" s="18"/>
      <c r="R7" s="18"/>
      <c r="S7" s="18"/>
      <c r="T7" s="18"/>
    </row>
    <row r="8" spans="1:20" ht="15.75" x14ac:dyDescent="0.25">
      <c r="A8" s="15" t="s">
        <v>74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P8" s="18"/>
      <c r="Q8" s="112" t="s">
        <v>75</v>
      </c>
      <c r="R8" s="112"/>
      <c r="S8" s="18"/>
      <c r="T8" s="18"/>
    </row>
    <row r="9" spans="1:20" ht="15.75" x14ac:dyDescent="0.25">
      <c r="A9" s="16" t="s">
        <v>80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P9" s="18"/>
      <c r="Q9" s="53"/>
      <c r="R9" s="53"/>
      <c r="S9" s="18"/>
      <c r="T9" s="18"/>
    </row>
    <row r="10" spans="1:20" ht="15.75" x14ac:dyDescent="0.25">
      <c r="A10" s="16" t="s">
        <v>39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P10" s="18"/>
      <c r="Q10" s="53"/>
      <c r="R10" s="53"/>
      <c r="S10" s="18"/>
      <c r="T10" s="18"/>
    </row>
    <row r="11" spans="1:20" ht="15.75" x14ac:dyDescent="0.25">
      <c r="A11" s="16" t="s">
        <v>40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P11" s="18"/>
      <c r="Q11" s="53"/>
      <c r="R11" s="53"/>
      <c r="S11" s="18"/>
      <c r="T11" s="18"/>
    </row>
    <row r="12" spans="1:20" ht="15.75" x14ac:dyDescent="0.25">
      <c r="A12" s="16" t="s">
        <v>41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9"/>
      <c r="P12" s="18"/>
      <c r="Q12" s="53"/>
      <c r="R12" s="53"/>
      <c r="S12" s="18"/>
      <c r="T12" s="18"/>
    </row>
    <row r="13" spans="1:20" ht="15.75" x14ac:dyDescent="0.25">
      <c r="A13" s="16" t="s">
        <v>42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P13" s="18"/>
      <c r="Q13" s="53"/>
      <c r="R13" s="53"/>
      <c r="S13" s="18"/>
      <c r="T13" s="18"/>
    </row>
    <row r="14" spans="1:20" ht="15.75" x14ac:dyDescent="0.25">
      <c r="A14" s="16" t="s">
        <v>43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P14" s="18"/>
      <c r="Q14" s="53"/>
      <c r="R14" s="53"/>
      <c r="S14" s="18"/>
      <c r="T14" s="18"/>
    </row>
    <row r="15" spans="1:20" ht="15.75" x14ac:dyDescent="0.25">
      <c r="A15" s="16" t="s">
        <v>44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P15" s="18"/>
      <c r="Q15" s="53"/>
      <c r="R15" s="53"/>
      <c r="S15" s="18"/>
      <c r="T15" s="18"/>
    </row>
    <row r="16" spans="1:20" ht="15.75" x14ac:dyDescent="0.25">
      <c r="A16" s="78" t="s">
        <v>114</v>
      </c>
      <c r="B16" s="43"/>
      <c r="C16" s="43"/>
      <c r="D16" s="43"/>
      <c r="E16" s="43"/>
      <c r="F16" s="81">
        <v>19.418666666666667</v>
      </c>
      <c r="G16" s="82"/>
      <c r="H16" s="82">
        <v>24.977760362243124</v>
      </c>
      <c r="I16" s="82"/>
      <c r="J16" s="82"/>
      <c r="K16" s="82"/>
      <c r="L16" s="82">
        <v>16.55</v>
      </c>
      <c r="M16" s="43"/>
      <c r="P16" s="18"/>
      <c r="Q16" s="53"/>
      <c r="R16" s="53"/>
      <c r="S16" s="18"/>
      <c r="T16" s="18"/>
    </row>
    <row r="17" spans="1:20" ht="15.75" x14ac:dyDescent="0.25">
      <c r="A17" s="79" t="s">
        <v>115</v>
      </c>
      <c r="B17" s="43"/>
      <c r="C17" s="43"/>
      <c r="D17" s="43"/>
      <c r="E17" s="43"/>
      <c r="F17" s="82"/>
      <c r="G17" s="82"/>
      <c r="H17" s="82"/>
      <c r="I17" s="82"/>
      <c r="J17" s="82"/>
      <c r="K17" s="82"/>
      <c r="L17" s="82">
        <v>16.55</v>
      </c>
      <c r="M17" s="43"/>
      <c r="P17" s="18"/>
      <c r="Q17" s="53"/>
      <c r="R17" s="53"/>
      <c r="S17" s="18"/>
      <c r="T17" s="18"/>
    </row>
    <row r="18" spans="1:20" ht="15.75" x14ac:dyDescent="0.25">
      <c r="A18" s="78" t="s">
        <v>113</v>
      </c>
      <c r="B18" s="43"/>
      <c r="C18" s="43"/>
      <c r="D18" s="43"/>
      <c r="E18" s="43"/>
      <c r="F18" s="82"/>
      <c r="G18" s="82"/>
      <c r="H18" s="82"/>
      <c r="I18" s="82"/>
      <c r="J18" s="82"/>
      <c r="K18" s="82"/>
      <c r="L18" s="82">
        <v>86.4</v>
      </c>
      <c r="M18" s="43"/>
      <c r="P18" s="18"/>
      <c r="Q18" s="53"/>
      <c r="R18" s="53"/>
      <c r="S18" s="18"/>
      <c r="T18" s="18"/>
    </row>
    <row r="19" spans="1:20" s="22" customFormat="1" ht="16.5" thickBot="1" x14ac:dyDescent="0.3">
      <c r="A19" s="13" t="s">
        <v>76</v>
      </c>
      <c r="B19" s="40">
        <f>B4-SUM(B6:B18)</f>
        <v>15.004499999999998</v>
      </c>
      <c r="C19" s="40">
        <f t="shared" ref="C19:K19" si="1">C4-SUM(C6:C18)</f>
        <v>6.8999999999999995</v>
      </c>
      <c r="D19" s="40">
        <f t="shared" si="1"/>
        <v>30</v>
      </c>
      <c r="E19" s="40">
        <f t="shared" si="1"/>
        <v>3.4499999999999997</v>
      </c>
      <c r="F19" s="40">
        <f>F4-SUM(F6:F18)</f>
        <v>24.58133333333334</v>
      </c>
      <c r="G19" s="40">
        <f t="shared" si="1"/>
        <v>18.899999999999999</v>
      </c>
      <c r="H19" s="40">
        <f t="shared" si="1"/>
        <v>87.522239637756883</v>
      </c>
      <c r="I19" s="40">
        <f t="shared" si="1"/>
        <v>11.000000000000002</v>
      </c>
      <c r="J19" s="40">
        <f t="shared" si="1"/>
        <v>60</v>
      </c>
      <c r="K19" s="40">
        <f t="shared" si="1"/>
        <v>16.500000000000004</v>
      </c>
      <c r="L19" s="40">
        <f>L4-SUM(L6:L18)</f>
        <v>68</v>
      </c>
      <c r="M19" s="40">
        <f>M4-SUM(M6:M15)</f>
        <v>505.75450000000001</v>
      </c>
      <c r="P19" s="18"/>
      <c r="Q19" s="18"/>
      <c r="R19" s="18"/>
      <c r="S19" s="20"/>
      <c r="T19" s="20"/>
    </row>
    <row r="20" spans="1:20" s="22" customFormat="1" ht="16.5" thickBot="1" x14ac:dyDescent="0.3">
      <c r="A20" s="113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P20" s="18"/>
      <c r="Q20" s="114" t="str">
        <f>"U.A.-Pooled "&amp;S39&amp;" MW "</f>
        <v xml:space="preserve">U.A.-Pooled 505.7545 MW </v>
      </c>
      <c r="R20" s="115"/>
      <c r="S20" s="116"/>
      <c r="T20" s="116"/>
    </row>
    <row r="21" spans="1:20" s="22" customFormat="1" ht="15.75" x14ac:dyDescent="0.25">
      <c r="A21" s="13" t="s">
        <v>77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P21" s="18"/>
      <c r="Q21" s="117" t="s">
        <v>78</v>
      </c>
      <c r="R21" s="119" t="s">
        <v>79</v>
      </c>
      <c r="S21" s="121"/>
      <c r="T21" s="122"/>
    </row>
    <row r="22" spans="1:20" ht="16.5" thickBot="1" x14ac:dyDescent="0.3">
      <c r="A22" s="16" t="s">
        <v>80</v>
      </c>
      <c r="B22" s="46">
        <f t="shared" ref="B22:K22" si="2">$N$22*B19/100</f>
        <v>0.19255775</v>
      </c>
      <c r="C22" s="46">
        <f t="shared" si="2"/>
        <v>8.8550000000000004E-2</v>
      </c>
      <c r="D22" s="46">
        <f t="shared" si="2"/>
        <v>0.38500000000000001</v>
      </c>
      <c r="E22" s="46">
        <f t="shared" si="2"/>
        <v>4.4275000000000002E-2</v>
      </c>
      <c r="F22" s="80">
        <v>0.56466666666666665</v>
      </c>
      <c r="G22" s="46">
        <f t="shared" si="2"/>
        <v>0.24254999999999999</v>
      </c>
      <c r="H22" s="46">
        <v>1.4437499999999999</v>
      </c>
      <c r="I22" s="46">
        <f t="shared" si="2"/>
        <v>0.14116666666666672</v>
      </c>
      <c r="J22" s="46">
        <f t="shared" si="2"/>
        <v>0.77</v>
      </c>
      <c r="K22" s="46">
        <f t="shared" si="2"/>
        <v>0.21175000000000008</v>
      </c>
      <c r="L22" s="46">
        <v>2.40625</v>
      </c>
      <c r="M22" s="46">
        <f>$N$22*M19/100</f>
        <v>6.4905160833333344</v>
      </c>
      <c r="N22" s="47">
        <f>(B35*4+C35*20)/24</f>
        <v>1.2833333333333334</v>
      </c>
      <c r="O22" s="23"/>
      <c r="P22" s="18"/>
      <c r="Q22" s="118"/>
      <c r="R22" s="120"/>
      <c r="S22" s="121"/>
      <c r="T22" s="123"/>
    </row>
    <row r="23" spans="1:20" ht="15.75" x14ac:dyDescent="0.25">
      <c r="A23" s="16" t="s">
        <v>39</v>
      </c>
      <c r="B23" s="46">
        <f t="shared" ref="B23:M23" si="3">$N$23*B19/100</f>
        <v>6.6219859999999997</v>
      </c>
      <c r="C23" s="46">
        <f t="shared" si="3"/>
        <v>3.0451999999999999</v>
      </c>
      <c r="D23" s="46">
        <f t="shared" si="3"/>
        <v>13.24</v>
      </c>
      <c r="E23" s="46">
        <f t="shared" si="3"/>
        <v>1.5226</v>
      </c>
      <c r="F23" s="46">
        <v>0</v>
      </c>
      <c r="G23" s="46">
        <f t="shared" si="3"/>
        <v>8.3411999999999988</v>
      </c>
      <c r="H23" s="46">
        <v>24.672239637756881</v>
      </c>
      <c r="I23" s="46">
        <f t="shared" si="3"/>
        <v>4.8546666666666676</v>
      </c>
      <c r="J23" s="46">
        <f t="shared" si="3"/>
        <v>26.48</v>
      </c>
      <c r="K23" s="46">
        <f t="shared" si="3"/>
        <v>7.2820000000000018</v>
      </c>
      <c r="L23" s="46">
        <v>0</v>
      </c>
      <c r="M23" s="46">
        <f t="shared" si="3"/>
        <v>223.20631933333334</v>
      </c>
      <c r="N23" s="47">
        <f t="shared" ref="N23:N28" si="4">(B36*4+C36*20)/24</f>
        <v>44.133333333333333</v>
      </c>
      <c r="O23" s="23"/>
      <c r="P23" s="18"/>
      <c r="Q23" s="24" t="s">
        <v>80</v>
      </c>
      <c r="R23" s="49">
        <v>1.2833333333333334</v>
      </c>
      <c r="S23" s="26"/>
      <c r="T23" s="21"/>
    </row>
    <row r="24" spans="1:20" ht="15.75" x14ac:dyDescent="0.25">
      <c r="A24" s="16" t="s">
        <v>40</v>
      </c>
      <c r="B24" s="46">
        <f t="shared" ref="B24:M24" si="5">$N$24*B19/100</f>
        <v>1.2253674999999999</v>
      </c>
      <c r="C24" s="46">
        <f t="shared" si="5"/>
        <v>0.56349999999999989</v>
      </c>
      <c r="D24" s="46">
        <f t="shared" si="5"/>
        <v>2.4499999999999997</v>
      </c>
      <c r="E24" s="46">
        <f t="shared" si="5"/>
        <v>0.28174999999999994</v>
      </c>
      <c r="F24" s="80">
        <v>3.5933333333333333</v>
      </c>
      <c r="G24" s="46">
        <f t="shared" si="5"/>
        <v>1.5434999999999997</v>
      </c>
      <c r="H24" s="46">
        <v>9.1875</v>
      </c>
      <c r="I24" s="46">
        <f t="shared" si="5"/>
        <v>0.89833333333333343</v>
      </c>
      <c r="J24" s="46">
        <f t="shared" si="5"/>
        <v>4.8999999999999995</v>
      </c>
      <c r="K24" s="46">
        <f t="shared" si="5"/>
        <v>1.3475000000000004</v>
      </c>
      <c r="L24" s="46">
        <v>15.312499999999998</v>
      </c>
      <c r="M24" s="46">
        <f t="shared" si="5"/>
        <v>41.303284166666664</v>
      </c>
      <c r="N24" s="47">
        <f t="shared" si="4"/>
        <v>8.1666666666666661</v>
      </c>
      <c r="O24" s="23"/>
      <c r="P24" s="18"/>
      <c r="Q24" s="24" t="s">
        <v>39</v>
      </c>
      <c r="R24" s="49">
        <v>44.133333333333333</v>
      </c>
      <c r="S24" s="26"/>
      <c r="T24" s="21"/>
    </row>
    <row r="25" spans="1:20" ht="15.75" x14ac:dyDescent="0.25">
      <c r="A25" s="16" t="s">
        <v>41</v>
      </c>
      <c r="B25" s="46">
        <f t="shared" ref="B25:M25" si="6">$N$25*B19/100</f>
        <v>4.9014699999999998</v>
      </c>
      <c r="C25" s="46">
        <f t="shared" si="6"/>
        <v>2.2539999999999996</v>
      </c>
      <c r="D25" s="46">
        <f t="shared" si="6"/>
        <v>9.7999999999999989</v>
      </c>
      <c r="E25" s="46">
        <f t="shared" si="6"/>
        <v>1.1269999999999998</v>
      </c>
      <c r="F25" s="80">
        <v>14.373333333333333</v>
      </c>
      <c r="G25" s="46">
        <f t="shared" si="6"/>
        <v>6.1739999999999986</v>
      </c>
      <c r="H25" s="46">
        <v>36.75</v>
      </c>
      <c r="I25" s="46">
        <f t="shared" si="6"/>
        <v>3.5933333333333337</v>
      </c>
      <c r="J25" s="46">
        <f t="shared" si="6"/>
        <v>19.599999999999998</v>
      </c>
      <c r="K25" s="46">
        <f t="shared" si="6"/>
        <v>5.3900000000000015</v>
      </c>
      <c r="L25" s="46">
        <v>24.5</v>
      </c>
      <c r="M25" s="46">
        <f t="shared" si="6"/>
        <v>165.21313666666666</v>
      </c>
      <c r="N25" s="47">
        <f t="shared" si="4"/>
        <v>32.666666666666664</v>
      </c>
      <c r="O25" s="23"/>
      <c r="P25" s="18"/>
      <c r="Q25" s="24" t="s">
        <v>40</v>
      </c>
      <c r="R25" s="54">
        <v>8.1666666666666661</v>
      </c>
      <c r="S25" s="26"/>
      <c r="T25" s="21"/>
    </row>
    <row r="26" spans="1:20" ht="15.75" x14ac:dyDescent="0.25">
      <c r="A26" s="16" t="s">
        <v>42</v>
      </c>
      <c r="B26" s="46">
        <f t="shared" ref="B26:M26" si="7">$N$26*B19/100</f>
        <v>1.2753824999999999</v>
      </c>
      <c r="C26" s="46">
        <f t="shared" si="7"/>
        <v>0.58650000000000002</v>
      </c>
      <c r="D26" s="46">
        <f t="shared" si="7"/>
        <v>2.5499999999999998</v>
      </c>
      <c r="E26" s="46">
        <f t="shared" si="7"/>
        <v>0.29325000000000001</v>
      </c>
      <c r="F26" s="80">
        <v>3.74</v>
      </c>
      <c r="G26" s="46">
        <f t="shared" si="7"/>
        <v>1.6064999999999998</v>
      </c>
      <c r="H26" s="46">
        <v>9.5625</v>
      </c>
      <c r="I26" s="46">
        <f t="shared" si="7"/>
        <v>0.93500000000000016</v>
      </c>
      <c r="J26" s="46">
        <f t="shared" si="7"/>
        <v>5.0999999999999996</v>
      </c>
      <c r="K26" s="46">
        <f t="shared" si="7"/>
        <v>1.4025000000000003</v>
      </c>
      <c r="L26" s="46">
        <v>15.9375</v>
      </c>
      <c r="M26" s="46">
        <f t="shared" si="7"/>
        <v>42.989132499999997</v>
      </c>
      <c r="N26" s="47">
        <f t="shared" si="4"/>
        <v>8.5</v>
      </c>
      <c r="O26" s="23"/>
      <c r="P26" s="18"/>
      <c r="Q26" s="24" t="s">
        <v>41</v>
      </c>
      <c r="R26" s="49">
        <v>32.666666666666664</v>
      </c>
      <c r="S26" s="26"/>
      <c r="T26" s="21"/>
    </row>
    <row r="27" spans="1:20" ht="15.75" x14ac:dyDescent="0.25">
      <c r="A27" s="16" t="s">
        <v>43</v>
      </c>
      <c r="B27" s="46">
        <f t="shared" ref="B27:M27" si="8">$N$27*B19/100</f>
        <v>0.65019499999999997</v>
      </c>
      <c r="C27" s="46">
        <f t="shared" si="8"/>
        <v>0.29899999999999993</v>
      </c>
      <c r="D27" s="46">
        <f t="shared" si="8"/>
        <v>1.3</v>
      </c>
      <c r="E27" s="46">
        <f t="shared" si="8"/>
        <v>0.14949999999999997</v>
      </c>
      <c r="F27" s="80">
        <v>1.9066666666666665</v>
      </c>
      <c r="G27" s="46">
        <f t="shared" si="8"/>
        <v>0.81899999999999995</v>
      </c>
      <c r="H27" s="46">
        <v>4.875</v>
      </c>
      <c r="I27" s="46">
        <f t="shared" si="8"/>
        <v>0.47666666666666674</v>
      </c>
      <c r="J27" s="46">
        <f t="shared" si="8"/>
        <v>2.6</v>
      </c>
      <c r="K27" s="46">
        <f t="shared" si="8"/>
        <v>0.71500000000000019</v>
      </c>
      <c r="L27" s="46">
        <v>8.125</v>
      </c>
      <c r="M27" s="46">
        <f t="shared" si="8"/>
        <v>21.916028333333333</v>
      </c>
      <c r="N27" s="47">
        <f t="shared" si="4"/>
        <v>4.333333333333333</v>
      </c>
      <c r="O27" s="23"/>
      <c r="P27" s="18"/>
      <c r="Q27" s="24" t="s">
        <v>42</v>
      </c>
      <c r="R27" s="49">
        <v>8.5</v>
      </c>
      <c r="S27" s="26"/>
      <c r="T27" s="21"/>
    </row>
    <row r="28" spans="1:20" ht="15.75" x14ac:dyDescent="0.25">
      <c r="A28" s="16" t="s">
        <v>44</v>
      </c>
      <c r="B28" s="46">
        <f t="shared" ref="B28:M28" si="9">$N$28*B19/100</f>
        <v>0.13754124999999998</v>
      </c>
      <c r="C28" s="46">
        <f t="shared" si="9"/>
        <v>6.3249999999999987E-2</v>
      </c>
      <c r="D28" s="46">
        <f t="shared" si="9"/>
        <v>0.27500000000000002</v>
      </c>
      <c r="E28" s="46">
        <f t="shared" si="9"/>
        <v>3.1624999999999993E-2</v>
      </c>
      <c r="F28" s="80">
        <v>0.40333333333333327</v>
      </c>
      <c r="G28" s="46">
        <f t="shared" si="9"/>
        <v>0.17324999999999999</v>
      </c>
      <c r="H28" s="46">
        <v>1.03125</v>
      </c>
      <c r="I28" s="46">
        <f t="shared" si="9"/>
        <v>0.10083333333333334</v>
      </c>
      <c r="J28" s="46">
        <f t="shared" si="9"/>
        <v>0.55000000000000004</v>
      </c>
      <c r="K28" s="46">
        <f t="shared" si="9"/>
        <v>0.15125000000000002</v>
      </c>
      <c r="L28" s="46">
        <v>1.71875</v>
      </c>
      <c r="M28" s="46">
        <f t="shared" si="9"/>
        <v>4.6360829166666671</v>
      </c>
      <c r="N28" s="47">
        <f t="shared" si="4"/>
        <v>0.91666666666666663</v>
      </c>
      <c r="O28" s="23"/>
      <c r="P28" s="18"/>
      <c r="Q28" s="24" t="s">
        <v>43</v>
      </c>
      <c r="R28" s="49">
        <v>4.333333333333333</v>
      </c>
      <c r="S28" s="26"/>
      <c r="T28" s="21"/>
    </row>
    <row r="29" spans="1:20" ht="15.75" x14ac:dyDescent="0.25">
      <c r="A29" s="27"/>
      <c r="M29" s="48">
        <f>SUM(M22:M28)</f>
        <v>505.75449999999995</v>
      </c>
      <c r="N29" s="47">
        <f>SUM(N22:N28)</f>
        <v>100</v>
      </c>
      <c r="O29" s="28"/>
      <c r="P29" s="18"/>
      <c r="Q29" s="24" t="s">
        <v>44</v>
      </c>
      <c r="R29" s="49">
        <v>0.91666666666666663</v>
      </c>
      <c r="S29" s="26"/>
      <c r="T29" s="21"/>
    </row>
    <row r="30" spans="1:20" ht="15.75" x14ac:dyDescent="0.25">
      <c r="A30" s="27"/>
      <c r="P30" s="18"/>
      <c r="Q30" s="24"/>
      <c r="R30" s="25"/>
      <c r="S30" s="26"/>
      <c r="T30" s="21"/>
    </row>
    <row r="31" spans="1:20" x14ac:dyDescent="0.2">
      <c r="A31" s="27"/>
      <c r="P31" s="18"/>
      <c r="Q31" s="24"/>
      <c r="R31" s="29"/>
      <c r="S31" s="26"/>
      <c r="T31" s="21"/>
    </row>
    <row r="32" spans="1:20" ht="15.75" thickBot="1" x14ac:dyDescent="0.25">
      <c r="A32" s="27"/>
      <c r="P32" s="18"/>
      <c r="Q32" s="30"/>
      <c r="R32" s="31"/>
      <c r="S32" s="26"/>
      <c r="T32" s="21"/>
    </row>
    <row r="33" spans="1:20" ht="15.75" thickBot="1" x14ac:dyDescent="0.25">
      <c r="A33" s="27"/>
      <c r="P33" s="18"/>
      <c r="Q33" s="30" t="s">
        <v>45</v>
      </c>
      <c r="R33" s="32">
        <f>SUM(R23:R29)</f>
        <v>100</v>
      </c>
      <c r="S33" s="26"/>
      <c r="T33" s="33"/>
    </row>
    <row r="34" spans="1:20" ht="18" x14ac:dyDescent="0.25">
      <c r="A34" s="52" t="s">
        <v>81</v>
      </c>
      <c r="B34" s="50" t="s">
        <v>82</v>
      </c>
      <c r="C34" s="50" t="s">
        <v>83</v>
      </c>
      <c r="D34" s="50" t="s">
        <v>84</v>
      </c>
      <c r="P34" s="18"/>
      <c r="Q34" s="34"/>
      <c r="R34" s="18"/>
      <c r="S34" s="35"/>
      <c r="T34" s="36"/>
    </row>
    <row r="35" spans="1:20" ht="15.75" x14ac:dyDescent="0.25">
      <c r="A35" s="16" t="s">
        <v>80</v>
      </c>
      <c r="B35" s="50">
        <v>2.7</v>
      </c>
      <c r="C35" s="50">
        <v>1</v>
      </c>
      <c r="D35" s="51">
        <f>(B35*4+C35*20)/24</f>
        <v>1.2833333333333334</v>
      </c>
      <c r="I35" s="47"/>
      <c r="P35" s="18">
        <v>1</v>
      </c>
      <c r="Q35" s="108" t="s">
        <v>85</v>
      </c>
      <c r="R35" s="108"/>
      <c r="S35" s="44">
        <f>M4</f>
        <v>505.75450000000001</v>
      </c>
      <c r="T35" s="37" t="s">
        <v>13</v>
      </c>
    </row>
    <row r="36" spans="1:20" ht="15.75" x14ac:dyDescent="0.25">
      <c r="A36" s="16" t="s">
        <v>39</v>
      </c>
      <c r="B36" s="50">
        <v>37.299999999999997</v>
      </c>
      <c r="C36" s="50">
        <v>45.5</v>
      </c>
      <c r="D36" s="51">
        <f t="shared" ref="D36:D41" si="10">(B36*4+C36*20)/24</f>
        <v>44.133333333333333</v>
      </c>
      <c r="P36" s="18"/>
      <c r="Q36" s="108"/>
      <c r="R36" s="108"/>
      <c r="S36" s="45"/>
      <c r="T36" s="37"/>
    </row>
    <row r="37" spans="1:20" ht="15.75" x14ac:dyDescent="0.25">
      <c r="A37" s="16" t="s">
        <v>40</v>
      </c>
      <c r="B37" s="50">
        <v>9</v>
      </c>
      <c r="C37" s="50">
        <v>8</v>
      </c>
      <c r="D37" s="51">
        <f t="shared" si="10"/>
        <v>8.1666666666666661</v>
      </c>
      <c r="H37" s="47"/>
      <c r="P37" s="18"/>
      <c r="Q37" s="7"/>
      <c r="R37" s="7"/>
      <c r="S37" s="45"/>
      <c r="T37" s="37"/>
    </row>
    <row r="38" spans="1:20" x14ac:dyDescent="0.2">
      <c r="A38" s="16" t="s">
        <v>41</v>
      </c>
      <c r="B38" s="50">
        <v>33.5</v>
      </c>
      <c r="C38" s="50">
        <v>32.5</v>
      </c>
      <c r="D38" s="51">
        <f t="shared" si="10"/>
        <v>32.666666666666664</v>
      </c>
      <c r="P38" s="18"/>
      <c r="Q38" s="18"/>
      <c r="R38" s="18"/>
      <c r="S38" s="44"/>
      <c r="T38" s="18"/>
    </row>
    <row r="39" spans="1:20" x14ac:dyDescent="0.2">
      <c r="A39" s="16" t="s">
        <v>42</v>
      </c>
      <c r="B39" s="50">
        <v>8.5</v>
      </c>
      <c r="C39" s="50">
        <v>8.5</v>
      </c>
      <c r="D39" s="51">
        <f t="shared" si="10"/>
        <v>8.5</v>
      </c>
      <c r="P39" s="38">
        <v>2</v>
      </c>
      <c r="Q39" s="33" t="s">
        <v>86</v>
      </c>
      <c r="R39" s="38"/>
      <c r="S39" s="55">
        <f>S35-S36-S37</f>
        <v>505.75450000000001</v>
      </c>
      <c r="T39" s="39" t="s">
        <v>13</v>
      </c>
    </row>
    <row r="40" spans="1:20" x14ac:dyDescent="0.2">
      <c r="A40" s="16" t="s">
        <v>43</v>
      </c>
      <c r="B40" s="50">
        <v>3.5</v>
      </c>
      <c r="C40" s="50">
        <v>4.5</v>
      </c>
      <c r="D40" s="51">
        <f t="shared" si="10"/>
        <v>4.333333333333333</v>
      </c>
    </row>
    <row r="41" spans="1:20" x14ac:dyDescent="0.2">
      <c r="A41" s="16" t="s">
        <v>44</v>
      </c>
      <c r="B41" s="50">
        <v>5.5</v>
      </c>
      <c r="C41" s="50">
        <v>0</v>
      </c>
      <c r="D41" s="51">
        <f t="shared" si="10"/>
        <v>0.91666666666666663</v>
      </c>
    </row>
    <row r="43" spans="1:20" x14ac:dyDescent="0.2">
      <c r="I43" s="56"/>
    </row>
  </sheetData>
  <mergeCells count="13">
    <mergeCell ref="Q36:R36"/>
    <mergeCell ref="Q1:T1"/>
    <mergeCell ref="Q2:T2"/>
    <mergeCell ref="A5:M5"/>
    <mergeCell ref="Q8:R8"/>
    <mergeCell ref="A20:M20"/>
    <mergeCell ref="Q20:R20"/>
    <mergeCell ref="S20:T20"/>
    <mergeCell ref="Q21:Q22"/>
    <mergeCell ref="R21:R22"/>
    <mergeCell ref="S21:S22"/>
    <mergeCell ref="T21:T22"/>
    <mergeCell ref="Q35:R35"/>
  </mergeCells>
  <conditionalFormatting sqref="R33">
    <cfRule type="cellIs" dxfId="1" priority="2" stopIfTrue="1" operator="notEqual">
      <formula>100</formula>
    </cfRule>
  </conditionalFormatting>
  <conditionalFormatting sqref="T33">
    <cfRule type="cellIs" dxfId="0" priority="1" stopIfTrue="1" operator="notEqual">
      <formula>15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ALLOCATION AS ON 31.10.2026</vt:lpstr>
      <vt:lpstr>UA 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</dc:creator>
  <cp:lastModifiedBy>J D Bhammar</cp:lastModifiedBy>
  <cp:lastPrinted>2026-09-02T05:07:37Z</cp:lastPrinted>
  <dcterms:created xsi:type="dcterms:W3CDTF">2019-08-05T05:59:49Z</dcterms:created>
  <dcterms:modified xsi:type="dcterms:W3CDTF">2026-11-04T05:18:39Z</dcterms:modified>
</cp:coreProperties>
</file>